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tabRatio="990" activeTab="2"/>
  </bookViews>
  <sheets>
    <sheet name="WPC multi-ply benchpress" sheetId="1" r:id="rId1"/>
    <sheet name="WPC raw benchpress" sheetId="2" r:id="rId2"/>
    <sheet name="WPC single-ply benchpress" sheetId="3" r:id="rId3"/>
  </sheets>
  <definedNames>
    <definedName name="_xlnm.Print_Area" localSheetId="0">'WPC multi-ply benchpress'!$A$1:$L$81</definedName>
    <definedName name="_xlnm.Print_Area" localSheetId="1">'WPC raw benchpress'!$A$1:$L$287</definedName>
  </definedNames>
  <calcPr fullCalcOnLoad="1"/>
</workbook>
</file>

<file path=xl/sharedStrings.xml><?xml version="1.0" encoding="utf-8"?>
<sst xmlns="http://schemas.openxmlformats.org/spreadsheetml/2006/main" count="2355" uniqueCount="911">
  <si>
    <t>World Championship WPC multi-ply benchpress
Dolgoprudniy, Russia 03-05 November 2017</t>
  </si>
  <si>
    <t>Name</t>
  </si>
  <si>
    <t xml:space="preserve">Age Categoty
Bith date/Age
</t>
  </si>
  <si>
    <t>Body
weight</t>
  </si>
  <si>
    <t>Gloss</t>
  </si>
  <si>
    <t>Team</t>
  </si>
  <si>
    <t>Benchpress</t>
  </si>
  <si>
    <t>Total</t>
  </si>
  <si>
    <t>Pts</t>
  </si>
  <si>
    <t>Coach</t>
  </si>
  <si>
    <t>Rec</t>
  </si>
  <si>
    <t>Body Weight Category  75</t>
  </si>
  <si>
    <t>Rubin Grigoriy</t>
  </si>
  <si>
    <t>Masters 80up (25.04.1937)/80</t>
  </si>
  <si>
    <t>73,90</t>
  </si>
  <si>
    <t>Israel</t>
  </si>
  <si>
    <t>105,0</t>
  </si>
  <si>
    <t>Body Weight Category  82.5</t>
  </si>
  <si>
    <t>Cacici Valentin</t>
  </si>
  <si>
    <t>Open (15.12.1989)/28</t>
  </si>
  <si>
    <t>82,30</t>
  </si>
  <si>
    <t>France</t>
  </si>
  <si>
    <t>265,0</t>
  </si>
  <si>
    <t>270,0</t>
  </si>
  <si>
    <t>285,0</t>
  </si>
  <si>
    <t>Theux Didier</t>
  </si>
  <si>
    <t>Open (01.05.1958)/59</t>
  </si>
  <si>
    <t>185,0</t>
  </si>
  <si>
    <t>200,0</t>
  </si>
  <si>
    <t>Wahlstrom Arttu</t>
  </si>
  <si>
    <t>Open (07.10.1986)/31</t>
  </si>
  <si>
    <t>81,20</t>
  </si>
  <si>
    <t>Finland</t>
  </si>
  <si>
    <t>240,0</t>
  </si>
  <si>
    <t>Masters 55-59 (01.05.1958)/59</t>
  </si>
  <si>
    <t>Body Weight Category  90</t>
  </si>
  <si>
    <t>Aliyev Bayram</t>
  </si>
  <si>
    <t>Open (20.06.1985)/32</t>
  </si>
  <si>
    <t>89,30</t>
  </si>
  <si>
    <t>Azerbaidjan</t>
  </si>
  <si>
    <t>260,0</t>
  </si>
  <si>
    <t>Huseynov Nijat</t>
  </si>
  <si>
    <t>Open (18.09.1989)/28</t>
  </si>
  <si>
    <t>89,80</t>
  </si>
  <si>
    <t>210,0</t>
  </si>
  <si>
    <t>0,0</t>
  </si>
  <si>
    <t>Petrov Aleksandr</t>
  </si>
  <si>
    <t>Masters 55-59 (17.07.1960)/57</t>
  </si>
  <si>
    <t>89,90</t>
  </si>
  <si>
    <t>Russia</t>
  </si>
  <si>
    <t>235,0</t>
  </si>
  <si>
    <t>245,0</t>
  </si>
  <si>
    <t>252,5</t>
  </si>
  <si>
    <t>Body Weight Category  100</t>
  </si>
  <si>
    <t>Mammadov Eldar</t>
  </si>
  <si>
    <t>Open (14.08.1978)/39</t>
  </si>
  <si>
    <t>99,40</t>
  </si>
  <si>
    <t>Body Weight Category  110</t>
  </si>
  <si>
    <t>Ivanov Sergey</t>
  </si>
  <si>
    <t>Open (08.06.1990)/27</t>
  </si>
  <si>
    <t>103,40</t>
  </si>
  <si>
    <t>Ukraine</t>
  </si>
  <si>
    <t>330,0</t>
  </si>
  <si>
    <t>345,0</t>
  </si>
  <si>
    <t>350,0</t>
  </si>
  <si>
    <t>330</t>
  </si>
  <si>
    <t>189,354</t>
  </si>
  <si>
    <t>Starodubskiy Sergey</t>
  </si>
  <si>
    <t>Open (20.12.1977)/40</t>
  </si>
  <si>
    <t>110,00</t>
  </si>
  <si>
    <t>292,5</t>
  </si>
  <si>
    <t>305,0</t>
  </si>
  <si>
    <t>Ahmadov Mustafa</t>
  </si>
  <si>
    <t>Open (15.10.1980)/37</t>
  </si>
  <si>
    <t>104,10</t>
  </si>
  <si>
    <t>290,0</t>
  </si>
  <si>
    <t>302,5</t>
  </si>
  <si>
    <t>Barros Garry</t>
  </si>
  <si>
    <t>Open (28.08.1983)/34</t>
  </si>
  <si>
    <t>109,40</t>
  </si>
  <si>
    <t>250,0</t>
  </si>
  <si>
    <t>Terentyev Aleksandr</t>
  </si>
  <si>
    <t>Open (15.02.1969)/48</t>
  </si>
  <si>
    <t>107,00</t>
  </si>
  <si>
    <t>300,0</t>
  </si>
  <si>
    <t>Riso Richard</t>
  </si>
  <si>
    <t>Masters 45-49 (18.07.1970)/47</t>
  </si>
  <si>
    <t>107,50</t>
  </si>
  <si>
    <t>230,0</t>
  </si>
  <si>
    <t>255,0</t>
  </si>
  <si>
    <t>Masters 45-49 (15.02.1969)/48</t>
  </si>
  <si>
    <t>Platel Eric</t>
  </si>
  <si>
    <t>Masters 45-49 (23.09.1971)/46</t>
  </si>
  <si>
    <t>255</t>
  </si>
  <si>
    <t>153,204</t>
  </si>
  <si>
    <t>William Roberts</t>
  </si>
  <si>
    <t>Masters 75-79 (16.10.1942)/75</t>
  </si>
  <si>
    <t>102,10</t>
  </si>
  <si>
    <t>USA</t>
  </si>
  <si>
    <t>85,0</t>
  </si>
  <si>
    <t>85</t>
  </si>
  <si>
    <t>89,9215</t>
  </si>
  <si>
    <t>Body Weight Category  125</t>
  </si>
  <si>
    <t>Gorbachev Dmitriy</t>
  </si>
  <si>
    <t>Open (06.03.1970)/47</t>
  </si>
  <si>
    <t>114,70</t>
  </si>
  <si>
    <t>Funtik Peter</t>
  </si>
  <si>
    <t>Open (31.10.1978)/39</t>
  </si>
  <si>
    <t>121,50</t>
  </si>
  <si>
    <t>Slovakia</t>
  </si>
  <si>
    <t>55,0</t>
  </si>
  <si>
    <t>Hosio Henrik</t>
  </si>
  <si>
    <t>Open (12.05.1979)/38</t>
  </si>
  <si>
    <t>118,00</t>
  </si>
  <si>
    <t>360,0</t>
  </si>
  <si>
    <t>380,0</t>
  </si>
  <si>
    <t>Masters 45-49 (06.03.1970)/47</t>
  </si>
  <si>
    <t>310,0</t>
  </si>
  <si>
    <t>320,0</t>
  </si>
  <si>
    <t>330,5</t>
  </si>
  <si>
    <t>La Comb</t>
  </si>
  <si>
    <t>Masters 50-54 (28.02.1967)/50</t>
  </si>
  <si>
    <t>124,60</t>
  </si>
  <si>
    <t>125,0</t>
  </si>
  <si>
    <t>227,5</t>
  </si>
  <si>
    <t>Body Weight Category  140</t>
  </si>
  <si>
    <t>Ylittalo-James Kalle</t>
  </si>
  <si>
    <t>Open (13.06.1983)/34</t>
  </si>
  <si>
    <t>129,40</t>
  </si>
  <si>
    <t>340,0</t>
  </si>
  <si>
    <t>357,5</t>
  </si>
  <si>
    <t>365,0</t>
  </si>
  <si>
    <t>Siska Jan</t>
  </si>
  <si>
    <t>Open (15.04.1980)/37</t>
  </si>
  <si>
    <t>125,80</t>
  </si>
  <si>
    <t>232,5</t>
  </si>
  <si>
    <t>Body Weight Category  140+</t>
  </si>
  <si>
    <t>Borcha Denis</t>
  </si>
  <si>
    <t>Teen 16-17 (31.01.2000)/17</t>
  </si>
  <si>
    <t>143,10</t>
  </si>
  <si>
    <t>180,0</t>
  </si>
  <si>
    <t>190,0</t>
  </si>
  <si>
    <t>180</t>
  </si>
  <si>
    <t>95,148</t>
  </si>
  <si>
    <t>Mihay Peter</t>
  </si>
  <si>
    <t>Masters 55-59 (27.06.1958)/59</t>
  </si>
  <si>
    <t>152,00</t>
  </si>
  <si>
    <t>160,0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</si>
  <si>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</si>
  <si>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</si>
  <si>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</si>
  <si>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</si>
  <si>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</si>
  <si>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</si>
  <si>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</si>
  <si>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</si>
  <si>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</si>
  <si>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</si>
  <si>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</si>
  <si>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Coef.</t>
  </si>
  <si>
    <t>140</t>
  </si>
  <si>
    <t>193,3825</t>
  </si>
  <si>
    <t xml:space="preserve">   Ivanov Sergey</t>
  </si>
  <si>
    <t>110</t>
  </si>
  <si>
    <t>82.5</t>
  </si>
  <si>
    <t>183,9960</t>
  </si>
  <si>
    <t>171,5625</t>
  </si>
  <si>
    <t>125</t>
  </si>
  <si>
    <t>166,9650</t>
  </si>
  <si>
    <t>165,9960</t>
  </si>
  <si>
    <t>90</t>
  </si>
  <si>
    <t>159,7830</t>
  </si>
  <si>
    <t>100</t>
  </si>
  <si>
    <t>151,5280</t>
  </si>
  <si>
    <t>140,8375</t>
  </si>
  <si>
    <t>129,1200</t>
  </si>
  <si>
    <t>126,6172</t>
  </si>
  <si>
    <t>30,2170</t>
  </si>
  <si>
    <t>Masters</t>
  </si>
  <si>
    <t>Masters 45-49</t>
  </si>
  <si>
    <t>192,6999</t>
  </si>
  <si>
    <t>Masters 55-59</t>
  </si>
  <si>
    <t>190,2016</t>
  </si>
  <si>
    <t>169,7928</t>
  </si>
  <si>
    <t>140,9294</t>
  </si>
  <si>
    <t>140+</t>
  </si>
  <si>
    <t>109,7604</t>
  </si>
  <si>
    <t>Masters 50-54</t>
  </si>
  <si>
    <t>77,1084</t>
  </si>
  <si>
    <t>Body Weight Category  56</t>
  </si>
  <si>
    <t>110,0</t>
  </si>
  <si>
    <t>115,0</t>
  </si>
  <si>
    <t>Body Weight Category  67.5</t>
  </si>
  <si>
    <t>135,0</t>
  </si>
  <si>
    <t>140,0</t>
  </si>
  <si>
    <t>165,0</t>
  </si>
  <si>
    <t>170,0</t>
  </si>
  <si>
    <t>165</t>
  </si>
  <si>
    <t>150,0</t>
  </si>
  <si>
    <t>Platel Sandrine</t>
  </si>
  <si>
    <t>Masters 40-44 (22.07.1974)/43</t>
  </si>
  <si>
    <t>74,90</t>
  </si>
  <si>
    <t>155,0</t>
  </si>
  <si>
    <t>172,5</t>
  </si>
  <si>
    <t>182,5</t>
  </si>
  <si>
    <t>Hilander Maiju</t>
  </si>
  <si>
    <t>Masters 60-64 (22.07.1957)/60</t>
  </si>
  <si>
    <t>71,90</t>
  </si>
  <si>
    <t>Knuutila Virpi-Sisko</t>
  </si>
  <si>
    <t>81,40</t>
  </si>
  <si>
    <t>205,0</t>
  </si>
  <si>
    <t>215,0</t>
  </si>
  <si>
    <t>217,5</t>
  </si>
  <si>
    <t>Masters 50-54 (11.10.1967)/50</t>
  </si>
  <si>
    <t>89,40</t>
  </si>
  <si>
    <t>175,0</t>
  </si>
  <si>
    <t>Platel Theo</t>
  </si>
  <si>
    <t>Teen 16-17 (27.07.2000)/17</t>
  </si>
  <si>
    <t>67,10</t>
  </si>
  <si>
    <t>Iran</t>
  </si>
  <si>
    <t>90,0</t>
  </si>
  <si>
    <t>100,0</t>
  </si>
  <si>
    <t>Sakhbetov Ruslan</t>
  </si>
  <si>
    <t>Open (02.07.1987)/30</t>
  </si>
  <si>
    <t>75,00</t>
  </si>
  <si>
    <t>Kazakhstan</t>
  </si>
  <si>
    <t>220,0</t>
  </si>
  <si>
    <t>Kyrgyzstan</t>
  </si>
  <si>
    <t>225,0</t>
  </si>
  <si>
    <t>Laishin Boris</t>
  </si>
  <si>
    <t>Masters 65-69 (06.08.1950)/67</t>
  </si>
  <si>
    <t>68,30</t>
  </si>
  <si>
    <t>130,0</t>
  </si>
  <si>
    <t>145,0</t>
  </si>
  <si>
    <t>81,70</t>
  </si>
  <si>
    <t>Kabanchenko Anatoliy</t>
  </si>
  <si>
    <t>Masters 60-64 (10.11.1953)/64</t>
  </si>
  <si>
    <t>79,80</t>
  </si>
  <si>
    <t>87,20</t>
  </si>
  <si>
    <t>Khudoleev Evgeniy</t>
  </si>
  <si>
    <t>Masters 70-74 (10.09.1946)/71</t>
  </si>
  <si>
    <t>84,70</t>
  </si>
  <si>
    <t>325,0</t>
  </si>
  <si>
    <t>275,0</t>
  </si>
  <si>
    <t>96,10</t>
  </si>
  <si>
    <t>212,5</t>
  </si>
  <si>
    <t>150</t>
  </si>
  <si>
    <t>280,0</t>
  </si>
  <si>
    <t>Shirokov Mikhail</t>
  </si>
  <si>
    <t>Teen 18-19 (03.06.1999)/18</t>
  </si>
  <si>
    <t>109,90</t>
  </si>
  <si>
    <t>130</t>
  </si>
  <si>
    <t>267,5</t>
  </si>
  <si>
    <t>322,5</t>
  </si>
  <si>
    <t>Klimov Victor</t>
  </si>
  <si>
    <t>117,60</t>
  </si>
  <si>
    <t>307,5</t>
  </si>
  <si>
    <t>315,0</t>
  </si>
  <si>
    <t>Masters 40-44 (10.03.1975)/42</t>
  </si>
  <si>
    <t>Seppanen Timo</t>
  </si>
  <si>
    <t>Masters 40-44 (25.11.1975)/42</t>
  </si>
  <si>
    <t>112,00</t>
  </si>
  <si>
    <t>120,20</t>
  </si>
  <si>
    <t>355,0</t>
  </si>
  <si>
    <t>Rudenko Maksim</t>
  </si>
  <si>
    <t>Open (08.11.1981)/36</t>
  </si>
  <si>
    <t>129,70</t>
  </si>
  <si>
    <t>Ostanin Vasiliy</t>
  </si>
  <si>
    <t>Masters 40-44 (18.05.1974)/43</t>
  </si>
  <si>
    <t>127,50</t>
  </si>
  <si>
    <t>Women</t>
  </si>
  <si>
    <t>Teenagers</t>
  </si>
  <si>
    <t>Teen 18-19</t>
  </si>
  <si>
    <t>67.5</t>
  </si>
  <si>
    <t>Junior</t>
  </si>
  <si>
    <t>Juniors 20-23</t>
  </si>
  <si>
    <t>Masters 60-64</t>
  </si>
  <si>
    <t>75</t>
  </si>
  <si>
    <t>56</t>
  </si>
  <si>
    <t>Masters 40-44</t>
  </si>
  <si>
    <t>Teen 16-17</t>
  </si>
  <si>
    <t>Teen 13-15</t>
  </si>
  <si>
    <t>Masters 70-74</t>
  </si>
  <si>
    <t>Masters 65-69</t>
  </si>
  <si>
    <t>Body Weight Category  52</t>
  </si>
  <si>
    <t>United Kingdom</t>
  </si>
  <si>
    <t>95,0</t>
  </si>
  <si>
    <t>97,5</t>
  </si>
  <si>
    <t>102,5</t>
  </si>
  <si>
    <t>Body Weight Category  60</t>
  </si>
  <si>
    <t>92,5</t>
  </si>
  <si>
    <t>Gibson David</t>
  </si>
  <si>
    <t>84,90</t>
  </si>
  <si>
    <t>147,5</t>
  </si>
  <si>
    <t>152,5</t>
  </si>
  <si>
    <t>89,60</t>
  </si>
  <si>
    <t>60</t>
  </si>
  <si>
    <t>52</t>
  </si>
  <si>
    <t>World Championship WPC raw benchpress
Dolgoprudniy, Russia 03-05 November 2017</t>
  </si>
  <si>
    <t>Guseva Tatjana</t>
  </si>
  <si>
    <t>Open (13.06.1982)/35</t>
  </si>
  <si>
    <t>51,30</t>
  </si>
  <si>
    <t>Latvia</t>
  </si>
  <si>
    <t>72,5</t>
  </si>
  <si>
    <t>77,5</t>
  </si>
  <si>
    <t>82,5</t>
  </si>
  <si>
    <t>Torres Vanessa</t>
  </si>
  <si>
    <t>Open (15.12.1986)/31</t>
  </si>
  <si>
    <t>59,00</t>
  </si>
  <si>
    <t>Romanovich Natalia</t>
  </si>
  <si>
    <t>Masters 45-49 (26.06.1969)/48</t>
  </si>
  <si>
    <t>59,40</t>
  </si>
  <si>
    <t>Fedorova Tatiana</t>
  </si>
  <si>
    <t>Masters 50-54 (12.02.1965)/52</t>
  </si>
  <si>
    <t>60,00</t>
  </si>
  <si>
    <t>57,5</t>
  </si>
  <si>
    <t>60,0</t>
  </si>
  <si>
    <t>Kolesnikova Anna</t>
  </si>
  <si>
    <t>Teen 18-19 (03.03.1998)/19</t>
  </si>
  <si>
    <t>65,30</t>
  </si>
  <si>
    <t>75,0</t>
  </si>
  <si>
    <t>80,0</t>
  </si>
  <si>
    <t>87,5</t>
  </si>
  <si>
    <t>Bies Johanna</t>
  </si>
  <si>
    <t>Open (28.07.1972)/45</t>
  </si>
  <si>
    <t>61,90</t>
  </si>
  <si>
    <t>95,571</t>
  </si>
  <si>
    <t>Maleeva Lyubov</t>
  </si>
  <si>
    <t>Open (25.08.1977)/40</t>
  </si>
  <si>
    <t>66,50</t>
  </si>
  <si>
    <t>Blotskaya Viktoriya</t>
  </si>
  <si>
    <t>Open (14.01.1985)/32</t>
  </si>
  <si>
    <t>67,30</t>
  </si>
  <si>
    <t>Open (03.03.1998)/19</t>
  </si>
  <si>
    <t>70,0</t>
  </si>
  <si>
    <t>Masters 40-44 (25.08.1977)/40</t>
  </si>
  <si>
    <t>Masters 45-49 (28.07.1972)/45</t>
  </si>
  <si>
    <t>106,701</t>
  </si>
  <si>
    <t>Herrmann Nelly</t>
  </si>
  <si>
    <t>Masters 70-74 (15.12.1944)/73</t>
  </si>
  <si>
    <t>65,00</t>
  </si>
  <si>
    <t>Switzerland</t>
  </si>
  <si>
    <t>67,5</t>
  </si>
  <si>
    <t>55,5</t>
  </si>
  <si>
    <t>Sukhanova Regina</t>
  </si>
  <si>
    <t>Open (30.07.1980)/37</t>
  </si>
  <si>
    <t>73,40</t>
  </si>
  <si>
    <t>Fadeeva Alina</t>
  </si>
  <si>
    <t>Open (09.09.1988)/29</t>
  </si>
  <si>
    <t>73,50</t>
  </si>
  <si>
    <t>112,5</t>
  </si>
  <si>
    <t>117,5</t>
  </si>
  <si>
    <t>Pellikka Krista</t>
  </si>
  <si>
    <t>Open (29.06.1987)/30</t>
  </si>
  <si>
    <t>74,50</t>
  </si>
  <si>
    <t>Croydon Catherine</t>
  </si>
  <si>
    <t>Open (10.03.1991)/26</t>
  </si>
  <si>
    <t>Ireland</t>
  </si>
  <si>
    <t>Baklykova Olga</t>
  </si>
  <si>
    <t>Masters 50-54 (07.05.1964)/53</t>
  </si>
  <si>
    <t>73,0</t>
  </si>
  <si>
    <t>Kodzaeva Yana</t>
  </si>
  <si>
    <t>Open (20.06.1993)/24</t>
  </si>
  <si>
    <t>79,30</t>
  </si>
  <si>
    <t>120,0</t>
  </si>
  <si>
    <t>120</t>
  </si>
  <si>
    <t>107,544</t>
  </si>
  <si>
    <t>Peledutse Luchian</t>
  </si>
  <si>
    <t>Teen 13-15 (16.08.2004)/13</t>
  </si>
  <si>
    <t>49,60</t>
  </si>
  <si>
    <t>35,0</t>
  </si>
  <si>
    <t>40,0</t>
  </si>
  <si>
    <t>45,0</t>
  </si>
  <si>
    <t>Davalle Richard</t>
  </si>
  <si>
    <t>Open (05.12.1983)/34</t>
  </si>
  <si>
    <t>55,20</t>
  </si>
  <si>
    <t>138,0</t>
  </si>
  <si>
    <t>Camicas Jean-Claude</t>
  </si>
  <si>
    <t>Masters 70-74 (19.03.1943)/74</t>
  </si>
  <si>
    <t>55,10</t>
  </si>
  <si>
    <t>Rusu Daniil</t>
  </si>
  <si>
    <t>Teen 13-15 (03.09.2003)/14</t>
  </si>
  <si>
    <t>62,90</t>
  </si>
  <si>
    <t>50,0</t>
  </si>
  <si>
    <t>Ryzhikh Evgeniy</t>
  </si>
  <si>
    <t>Teen 16-17 (15.05.2000)/17</t>
  </si>
  <si>
    <t>62,00</t>
  </si>
  <si>
    <t>Mouroux Thoma</t>
  </si>
  <si>
    <t>Juniors 20-23 (12.11.1996)/21</t>
  </si>
  <si>
    <t>67,00</t>
  </si>
  <si>
    <t>Raichonok Gint</t>
  </si>
  <si>
    <t>Juniors 20-23 (26.11.1995)/22</t>
  </si>
  <si>
    <t>66,60</t>
  </si>
  <si>
    <t>Martin Jose</t>
  </si>
  <si>
    <t>Masters 55-59 (19.03.1961)/56</t>
  </si>
  <si>
    <t>66,30</t>
  </si>
  <si>
    <t>Rapoport Mikhail</t>
  </si>
  <si>
    <t>Teen 18-19 (07.04.1999)/18</t>
  </si>
  <si>
    <t>74,80</t>
  </si>
  <si>
    <t>Pavlinov Kirill</t>
  </si>
  <si>
    <t>Juniors 20-23 (13.02.1994)/23</t>
  </si>
  <si>
    <t>71,50</t>
  </si>
  <si>
    <t>78,54</t>
  </si>
  <si>
    <t>Rzayev Ramin</t>
  </si>
  <si>
    <t>Open (24.07.1980)/37</t>
  </si>
  <si>
    <t>74,70</t>
  </si>
  <si>
    <t>192,5</t>
  </si>
  <si>
    <t>Chincharauli Georgi</t>
  </si>
  <si>
    <t>Open (15.04.1991)/26</t>
  </si>
  <si>
    <t>74,30</t>
  </si>
  <si>
    <t>114,411</t>
  </si>
  <si>
    <t>Kempes Cange</t>
  </si>
  <si>
    <t>Open (15.10.1993)/24</t>
  </si>
  <si>
    <t>Kungurtsev Pavel</t>
  </si>
  <si>
    <t>Masters 40-44 (01.10.1976)/41</t>
  </si>
  <si>
    <t>Eldin Vincent</t>
  </si>
  <si>
    <t>Masters 45-49 (15.04.1972)/45</t>
  </si>
  <si>
    <t>137,5</t>
  </si>
  <si>
    <t>95,095</t>
  </si>
  <si>
    <t>Ljadov Sergei</t>
  </si>
  <si>
    <t>Masters 60-64 (02.11.1956)/61</t>
  </si>
  <si>
    <t>Estonia</t>
  </si>
  <si>
    <t>107,5</t>
  </si>
  <si>
    <t>122,9155</t>
  </si>
  <si>
    <t>Sparberg Arvid</t>
  </si>
  <si>
    <t>Masters 70-74 (18.11.1945)/72</t>
  </si>
  <si>
    <t>70,30</t>
  </si>
  <si>
    <t>Terentyev Kirill</t>
  </si>
  <si>
    <t>Teen 16-17 (29.01.2001)/16</t>
  </si>
  <si>
    <t>80,40</t>
  </si>
  <si>
    <t>Efremenko Sergey</t>
  </si>
  <si>
    <t>Teen 18-19 (28.03.1999)/18</t>
  </si>
  <si>
    <t>81,60</t>
  </si>
  <si>
    <t>185,5</t>
  </si>
  <si>
    <t>Delbasteh Saleh</t>
  </si>
  <si>
    <t>Juniors 20-23 (09.05.1996)/21</t>
  </si>
  <si>
    <t>81,30</t>
  </si>
  <si>
    <t>177,5</t>
  </si>
  <si>
    <t>Volebob Maksim</t>
  </si>
  <si>
    <t>Juniors 20-23 (14.11.1995)/22</t>
  </si>
  <si>
    <t>80,30</t>
  </si>
  <si>
    <t>107,118</t>
  </si>
  <si>
    <t>Rohm Valentin</t>
  </si>
  <si>
    <t>Juniors 20-23 (17.03.1995)/22</t>
  </si>
  <si>
    <t>79,60</t>
  </si>
  <si>
    <t>Germany</t>
  </si>
  <si>
    <t>92,4</t>
  </si>
  <si>
    <t>Trafimov Andrey</t>
  </si>
  <si>
    <t>Juniors 20-23 (07.01.1995)/22</t>
  </si>
  <si>
    <t>77,00</t>
  </si>
  <si>
    <t>115</t>
  </si>
  <si>
    <t>77,6825</t>
  </si>
  <si>
    <t>Yugay Vladimir</t>
  </si>
  <si>
    <t>Open (10.10.1987)/30</t>
  </si>
  <si>
    <t>Ryabov Artem</t>
  </si>
  <si>
    <t>Open (08.04.1985)/32</t>
  </si>
  <si>
    <t>132,5</t>
  </si>
  <si>
    <t>Tayebi Fazlollah</t>
  </si>
  <si>
    <t>Masters 45-49 (23.05.1969)/48</t>
  </si>
  <si>
    <t>Klatik Sergey</t>
  </si>
  <si>
    <t>Masters 60-64 (12.09.1955)/62</t>
  </si>
  <si>
    <t>80,70</t>
  </si>
  <si>
    <t>Ryazanov Boris</t>
  </si>
  <si>
    <t>Masters 60-64 (13.06.1954)/63</t>
  </si>
  <si>
    <t>82,10</t>
  </si>
  <si>
    <t>Lambert Francois</t>
  </si>
  <si>
    <t>Masters 70-74 (17.12.1946)/71</t>
  </si>
  <si>
    <t>79,00</t>
  </si>
  <si>
    <t>98,235</t>
  </si>
  <si>
    <t>Herrmann Peter</t>
  </si>
  <si>
    <t>Masters 75-79 (13.03.1942)/75</t>
  </si>
  <si>
    <t>Sannikov Vladislav</t>
  </si>
  <si>
    <t>Masters 75-79 (29.10.1938)/79</t>
  </si>
  <si>
    <t>77,30</t>
  </si>
  <si>
    <t>Faizov Nail</t>
  </si>
  <si>
    <t>Masters 75-79 (19.06.1941)/76</t>
  </si>
  <si>
    <t>76,90</t>
  </si>
  <si>
    <t>65,0</t>
  </si>
  <si>
    <t>75,10</t>
  </si>
  <si>
    <t>Molotievskiy Pavel</t>
  </si>
  <si>
    <t>Teen 18-19 (17.06.1998)/19</t>
  </si>
  <si>
    <t>Timchenko Sergey</t>
  </si>
  <si>
    <t>Open (23.12.1979)/38</t>
  </si>
  <si>
    <t>Gafarov Kamil</t>
  </si>
  <si>
    <t>Open (23.03.1984)/33</t>
  </si>
  <si>
    <t>88,10</t>
  </si>
  <si>
    <t>210</t>
  </si>
  <si>
    <t>130,032</t>
  </si>
  <si>
    <t>Balandin Sergey</t>
  </si>
  <si>
    <t>Open (14.12.1984)/33</t>
  </si>
  <si>
    <t>88,40</t>
  </si>
  <si>
    <t>195,0</t>
  </si>
  <si>
    <t>197,5</t>
  </si>
  <si>
    <t>Karpov Roman</t>
  </si>
  <si>
    <t>Open (26.10.1979)/38</t>
  </si>
  <si>
    <t>Kasaraev Sergey</t>
  </si>
  <si>
    <t>Open (18.02.1974)/43</t>
  </si>
  <si>
    <t>86,30</t>
  </si>
  <si>
    <t>Bulakhov Evgeniy</t>
  </si>
  <si>
    <t>Open (07.06.1985)/32</t>
  </si>
  <si>
    <t>85,90</t>
  </si>
  <si>
    <t>Askarov Seymur</t>
  </si>
  <si>
    <t>Open (20.11.1984)/33</t>
  </si>
  <si>
    <t>88,50</t>
  </si>
  <si>
    <t>Pour Ahmadi</t>
  </si>
  <si>
    <t>Open (11.03.1987)/30</t>
  </si>
  <si>
    <t>88,30</t>
  </si>
  <si>
    <t>Spires Kent</t>
  </si>
  <si>
    <t>Open (05.05.1970)/47</t>
  </si>
  <si>
    <t>Masters 40-44 (18.02.1974)/43</t>
  </si>
  <si>
    <t>Bartenev Arleksey</t>
  </si>
  <si>
    <t>Masters 40-44 (01.03.1975)/42</t>
  </si>
  <si>
    <t>85,70</t>
  </si>
  <si>
    <t>200</t>
  </si>
  <si>
    <t>128,4</t>
  </si>
  <si>
    <t>Masters 45-49 (05.05.1970)/47</t>
  </si>
  <si>
    <t>233,5</t>
  </si>
  <si>
    <t>237,5</t>
  </si>
  <si>
    <t>Savelyev Eduard</t>
  </si>
  <si>
    <t>Masters 45-49 (12.03.1971)/46</t>
  </si>
  <si>
    <t>87,30</t>
  </si>
  <si>
    <t>Masters 50-54 (02.11.1966)/51</t>
  </si>
  <si>
    <t>Akhmedov Asaf</t>
  </si>
  <si>
    <t>Masters 50-54 (23.07.1965)/52</t>
  </si>
  <si>
    <t>83,60</t>
  </si>
  <si>
    <t>96,811</t>
  </si>
  <si>
    <t>Bazanov Sergey</t>
  </si>
  <si>
    <t>Masters 55-59 (22.06.1962)/55</t>
  </si>
  <si>
    <t>86,80</t>
  </si>
  <si>
    <t>162,5</t>
  </si>
  <si>
    <t>Cherkasov Egor</t>
  </si>
  <si>
    <t>Teen 18-19 (04.06.1998)/19</t>
  </si>
  <si>
    <t>91,30</t>
  </si>
  <si>
    <t>Virtanen Jani</t>
  </si>
  <si>
    <t>Juniors 20-23 (30.05.1995)/22</t>
  </si>
  <si>
    <t>96,90</t>
  </si>
  <si>
    <t>Lobov Ivan</t>
  </si>
  <si>
    <t>Open (20.05.1985)/32</t>
  </si>
  <si>
    <t>99,60</t>
  </si>
  <si>
    <t>222,5</t>
  </si>
  <si>
    <t>Solntsev Ivan</t>
  </si>
  <si>
    <t>Open (25.03.1974)/43</t>
  </si>
  <si>
    <t>Gurbanov Farid</t>
  </si>
  <si>
    <t>Open (22.08.1988)/29</t>
  </si>
  <si>
    <t>97,80</t>
  </si>
  <si>
    <t>Masters 40-44 (25.03.1974)/43</t>
  </si>
  <si>
    <t>Tsutskiridze Nodar</t>
  </si>
  <si>
    <t>Masters 40-44 (14.09.1976)/41</t>
  </si>
  <si>
    <t>97,50</t>
  </si>
  <si>
    <t>Pennington David</t>
  </si>
  <si>
    <t>Masters 50-54 (01.10.1966)/51</t>
  </si>
  <si>
    <t>99,90</t>
  </si>
  <si>
    <t>187,5</t>
  </si>
  <si>
    <t>Zheenaliev Sergek</t>
  </si>
  <si>
    <t>Masters 50-54 (22.04.1964)/53</t>
  </si>
  <si>
    <t>97,00</t>
  </si>
  <si>
    <t>Egorov Mikhail</t>
  </si>
  <si>
    <t>Masters 50-54 (27.09.1967)/50</t>
  </si>
  <si>
    <t>91,90</t>
  </si>
  <si>
    <t>Abayev Aslambek</t>
  </si>
  <si>
    <t>Masters 55-59 (28.06.1959)/58</t>
  </si>
  <si>
    <t>Matvejev Valeri</t>
  </si>
  <si>
    <t>Masters 55-59 (12.06.1960)/57</t>
  </si>
  <si>
    <t>93,10</t>
  </si>
  <si>
    <t>142,5</t>
  </si>
  <si>
    <t>Balabatko Igor</t>
  </si>
  <si>
    <t>Masters 55-59 (19.12.1960)/57</t>
  </si>
  <si>
    <t>92,60</t>
  </si>
  <si>
    <t>Ahmad Peykraftar</t>
  </si>
  <si>
    <t>Juniors 20-23 (26.06.1994)/23</t>
  </si>
  <si>
    <t>100,60</t>
  </si>
  <si>
    <t>175</t>
  </si>
  <si>
    <t>101,4825</t>
  </si>
  <si>
    <t>Colta Nicolae</t>
  </si>
  <si>
    <t>Juniors 20-23 (27.11.1995)/22</t>
  </si>
  <si>
    <t>102,00</t>
  </si>
  <si>
    <t>Moldova</t>
  </si>
  <si>
    <t>Synkov Vasiliy</t>
  </si>
  <si>
    <t>Open (07.09.1972)/45</t>
  </si>
  <si>
    <t>105,30</t>
  </si>
  <si>
    <t>Boss Daniel</t>
  </si>
  <si>
    <t>Open (10.10.1982)/35</t>
  </si>
  <si>
    <t>108,60</t>
  </si>
  <si>
    <t>Terentyev Igor</t>
  </si>
  <si>
    <t>Open (27.10.1979)/38</t>
  </si>
  <si>
    <t>103,60</t>
  </si>
  <si>
    <t>207,5</t>
  </si>
  <si>
    <t>Belov Anton</t>
  </si>
  <si>
    <t>Open (24.03.1985)/32</t>
  </si>
  <si>
    <t>106,60</t>
  </si>
  <si>
    <t>Abdulayev Bakhtiyar</t>
  </si>
  <si>
    <t>Open (24.07.1981)/36</t>
  </si>
  <si>
    <t>108,00</t>
  </si>
  <si>
    <t>202,5</t>
  </si>
  <si>
    <t>Sukhov Dmitriy</t>
  </si>
  <si>
    <t>Open (09.06.1975)/42</t>
  </si>
  <si>
    <t>106,40</t>
  </si>
  <si>
    <t>Kiryanov Aleksandr</t>
  </si>
  <si>
    <t>Masters 40-44 (15.04.1975)/42</t>
  </si>
  <si>
    <t>106,80</t>
  </si>
  <si>
    <t>Kotov Alexey</t>
  </si>
  <si>
    <t>Masters 40-44 (04.01.1974)/43</t>
  </si>
  <si>
    <t>105,80</t>
  </si>
  <si>
    <t>Aleksandrov Evgeniy</t>
  </si>
  <si>
    <t>Masters 40-44 (28.12.1974)/43</t>
  </si>
  <si>
    <t>107,30</t>
  </si>
  <si>
    <t>Masters 40-44 (09.06.1975)/42</t>
  </si>
  <si>
    <t>Valiollah Moosavi</t>
  </si>
  <si>
    <t>Masters 40-44 (23.09.1973)/44</t>
  </si>
  <si>
    <t>109,30</t>
  </si>
  <si>
    <t>Masters 45-49 (07.09.1972)/45</t>
  </si>
  <si>
    <t>Richard Spiroff</t>
  </si>
  <si>
    <t>Masters 45-49 (22.05.1969)/48</t>
  </si>
  <si>
    <t>106,90</t>
  </si>
  <si>
    <t>Chusovskoy Mikhail</t>
  </si>
  <si>
    <t>Masters 45-49 (21.09.1972)/45</t>
  </si>
  <si>
    <t>108,90</t>
  </si>
  <si>
    <t>Nosov Dmitriy</t>
  </si>
  <si>
    <t>Masters 45-49 (14.03.1971)/46</t>
  </si>
  <si>
    <t>103,70</t>
  </si>
  <si>
    <t>Beleckii Evgeniy</t>
  </si>
  <si>
    <t>Masters 50-54 (02.05.1964)/53</t>
  </si>
  <si>
    <t>103,50</t>
  </si>
  <si>
    <t>215,5</t>
  </si>
  <si>
    <t>Kurotchenko Igor</t>
  </si>
  <si>
    <t>Masters 55-59 (20.03.1962)/55</t>
  </si>
  <si>
    <t>Dyakonov Sergey</t>
  </si>
  <si>
    <t>Masters 60-64 (08.07.1957)/60</t>
  </si>
  <si>
    <t>Ponomarev Vitaliy</t>
  </si>
  <si>
    <t>Masters 60-64 (17.02.1957)/60</t>
  </si>
  <si>
    <t>102,90</t>
  </si>
  <si>
    <t>154,04</t>
  </si>
  <si>
    <t>Grachik Vaginakovich</t>
  </si>
  <si>
    <t>Masters 65-69 (10.08.1952)/65</t>
  </si>
  <si>
    <t>Listopad Ivan</t>
  </si>
  <si>
    <t>Juniors 20-23 (29.05.1995)/22</t>
  </si>
  <si>
    <t>114,60</t>
  </si>
  <si>
    <t>Karpov Aleksandr</t>
  </si>
  <si>
    <t>Open (01.07.1982)/35</t>
  </si>
  <si>
    <t>120,10</t>
  </si>
  <si>
    <t>Pronin Vadim</t>
  </si>
  <si>
    <t>Open (10.09.1979)/38</t>
  </si>
  <si>
    <t>Navarko Andrey</t>
  </si>
  <si>
    <t>Masters 40-44 (06.06.1975)/42</t>
  </si>
  <si>
    <t>120,30</t>
  </si>
  <si>
    <t>Veretennikov Anatoliy</t>
  </si>
  <si>
    <t>Masters 40-44 (14.07.1976)/41</t>
  </si>
  <si>
    <t>123,30</t>
  </si>
  <si>
    <t>195</t>
  </si>
  <si>
    <t>107,8155</t>
  </si>
  <si>
    <t>Kaekhtin Andrey</t>
  </si>
  <si>
    <t>Masters 45-49 (04.12.1968)/49</t>
  </si>
  <si>
    <t>Berman Yakov</t>
  </si>
  <si>
    <t>Masters 45-49 (22.06.1972)/45</t>
  </si>
  <si>
    <t>118,70</t>
  </si>
  <si>
    <t>Aladishev Sergey</t>
  </si>
  <si>
    <t>Masters 45-49 (08.05.1971)/46</t>
  </si>
  <si>
    <t>124,90</t>
  </si>
  <si>
    <t>Dorozhenko Dmitriy</t>
  </si>
  <si>
    <t>Masters 45-49 (14.04.1972)/45</t>
  </si>
  <si>
    <t>110,30</t>
  </si>
  <si>
    <t>Tikhonov Oleg</t>
  </si>
  <si>
    <t>Masters 45-49 (21.08.1969)/48</t>
  </si>
  <si>
    <t>112,10</t>
  </si>
  <si>
    <t>Chernyshenko Vasiliy</t>
  </si>
  <si>
    <t>Masters 50-54 (25.05.1963)/54</t>
  </si>
  <si>
    <t>116,90</t>
  </si>
  <si>
    <t>Nikolaev Mikhail</t>
  </si>
  <si>
    <t>Masters 55-59 (27.05.1961)/56</t>
  </si>
  <si>
    <t>125,00</t>
  </si>
  <si>
    <t>135,92</t>
  </si>
  <si>
    <t>Suzstay Erik</t>
  </si>
  <si>
    <t>Open (28.06.1972)/45</t>
  </si>
  <si>
    <t>132,60</t>
  </si>
  <si>
    <t>Salonen Sami</t>
  </si>
  <si>
    <t>Open (26.07.1969)/48</t>
  </si>
  <si>
    <t>137,80</t>
  </si>
  <si>
    <t>Nuruev Ramig</t>
  </si>
  <si>
    <t>Open (03.11.1984)/33</t>
  </si>
  <si>
    <t>133,10</t>
  </si>
  <si>
    <t>220</t>
  </si>
  <si>
    <t>118,184</t>
  </si>
  <si>
    <t>Dedyulya Valentin</t>
  </si>
  <si>
    <t>Masters 45-49 (28.06.1972)/45</t>
  </si>
  <si>
    <t>Masters 45-49 (26.07.1969)/48</t>
  </si>
  <si>
    <t>Savich Rade</t>
  </si>
  <si>
    <t>Open (27.04.1984)/33</t>
  </si>
  <si>
    <t>151,90</t>
  </si>
  <si>
    <t>Serbia</t>
  </si>
  <si>
    <t>Barashev Oleg</t>
  </si>
  <si>
    <t>Masters 40-44 (30.10.1975)/42</t>
  </si>
  <si>
    <t>143,60</t>
  </si>
  <si>
    <t>Lazarev Sergey</t>
  </si>
  <si>
    <t>Masters 55-59 (04.04.1960)/57</t>
  </si>
  <si>
    <t>151,30</t>
  </si>
  <si>
    <t>99,315</t>
  </si>
  <si>
    <t>73,8600</t>
  </si>
  <si>
    <t>114,5272</t>
  </si>
  <si>
    <t>100,1000</t>
  </si>
  <si>
    <t>99,5871</t>
  </si>
  <si>
    <t>93,2955</t>
  </si>
  <si>
    <t>92,3890</t>
  </si>
  <si>
    <t>86,7613</t>
  </si>
  <si>
    <t>85,7771</t>
  </si>
  <si>
    <t>84,6562</t>
  </si>
  <si>
    <t>78,9031</t>
  </si>
  <si>
    <t>109,9812</t>
  </si>
  <si>
    <t>106,4869</t>
  </si>
  <si>
    <t>87,5592</t>
  </si>
  <si>
    <t>83,5830</t>
  </si>
  <si>
    <t>77,6513</t>
  </si>
  <si>
    <t>66,1569</t>
  </si>
  <si>
    <t>120,1112</t>
  </si>
  <si>
    <t>96,5860</t>
  </si>
  <si>
    <t>82,6537</t>
  </si>
  <si>
    <t>76,6888</t>
  </si>
  <si>
    <t>70,4824</t>
  </si>
  <si>
    <t>63,9370</t>
  </si>
  <si>
    <t>43,8102</t>
  </si>
  <si>
    <t>40,7660</t>
  </si>
  <si>
    <t>113,8900</t>
  </si>
  <si>
    <t>111,9860</t>
  </si>
  <si>
    <t>100,9225</t>
  </si>
  <si>
    <t>90,3780</t>
  </si>
  <si>
    <t>83,4975</t>
  </si>
  <si>
    <t>136,3425</t>
  </si>
  <si>
    <t>132,5483</t>
  </si>
  <si>
    <t>130,8300</t>
  </si>
  <si>
    <t>129,5618</t>
  </si>
  <si>
    <t>127,7610</t>
  </si>
  <si>
    <t>127,0237</t>
  </si>
  <si>
    <t>122,5641</t>
  </si>
  <si>
    <t>122,0747</t>
  </si>
  <si>
    <t>121,8369</t>
  </si>
  <si>
    <t>121,0496</t>
  </si>
  <si>
    <t>120,9960</t>
  </si>
  <si>
    <t>120,6575</t>
  </si>
  <si>
    <t>120,2890</t>
  </si>
  <si>
    <t>119,1015</t>
  </si>
  <si>
    <t>118,7550</t>
  </si>
  <si>
    <t>117,7865</t>
  </si>
  <si>
    <t>117,0535</t>
  </si>
  <si>
    <t>116,5600</t>
  </si>
  <si>
    <t>116,2910</t>
  </si>
  <si>
    <t>114,2745</t>
  </si>
  <si>
    <t>113,6200</t>
  </si>
  <si>
    <t>112,9879</t>
  </si>
  <si>
    <t>110,1680</t>
  </si>
  <si>
    <t>107,9487</t>
  </si>
  <si>
    <t>160,4022</t>
  </si>
  <si>
    <t>154,4914</t>
  </si>
  <si>
    <t>154,2974</t>
  </si>
  <si>
    <t>142,9340</t>
  </si>
  <si>
    <t>141,5796</t>
  </si>
  <si>
    <t>139,8384</t>
  </si>
  <si>
    <t>139,7399</t>
  </si>
  <si>
    <t>138,9118</t>
  </si>
  <si>
    <t>134,3757</t>
  </si>
  <si>
    <t>133,9093</t>
  </si>
  <si>
    <t>Masters 80up</t>
  </si>
  <si>
    <t>130,4336</t>
  </si>
  <si>
    <t>128,0003</t>
  </si>
  <si>
    <t>Masters 75-79</t>
  </si>
  <si>
    <t>127,8399</t>
  </si>
  <si>
    <t>127,6508</t>
  </si>
  <si>
    <t>126,8763</t>
  </si>
  <si>
    <t>126,1717</t>
  </si>
  <si>
    <t>123,6016</t>
  </si>
  <si>
    <t>122,7936</t>
  </si>
  <si>
    <t>122,2126</t>
  </si>
  <si>
    <t>121,9429</t>
  </si>
  <si>
    <t>120,9054</t>
  </si>
  <si>
    <t>120,1734</t>
  </si>
  <si>
    <t>120,0668</t>
  </si>
  <si>
    <t>118,4197</t>
  </si>
  <si>
    <t>Telidis Kostas</t>
  </si>
  <si>
    <t>Open (18.04.1989)/28</t>
  </si>
  <si>
    <t>Telidis Ye.O.</t>
  </si>
  <si>
    <t>Mongolia</t>
  </si>
  <si>
    <t>Bulgarevich Stanislav</t>
  </si>
  <si>
    <t>Open (12.05.1986)/31</t>
  </si>
  <si>
    <t>77,60</t>
  </si>
  <si>
    <t>Kandaurov Sergey</t>
  </si>
  <si>
    <t>Masters 40-44 (29.05.1974)/43</t>
  </si>
  <si>
    <t>82,40</t>
  </si>
  <si>
    <t>166,40</t>
  </si>
  <si>
    <t>World Championship WPC single-ply benchpress
Dolgoprudniy, Russia 03-05 November 2017</t>
  </si>
  <si>
    <t>Kuznetsova Yuliya</t>
  </si>
  <si>
    <t>Open (15.05.1973)/44</t>
  </si>
  <si>
    <t>59,80</t>
  </si>
  <si>
    <t>Ponomarev V.A.</t>
  </si>
  <si>
    <t>Ylitalo-James Emma</t>
  </si>
  <si>
    <t>Open (24.11.1969)/48</t>
  </si>
  <si>
    <t>81,00</t>
  </si>
  <si>
    <t>Trubin Stanislav</t>
  </si>
  <si>
    <t>Juniors 20-23 (14.10.1995)/22</t>
  </si>
  <si>
    <t>50,40</t>
  </si>
  <si>
    <t>185</t>
  </si>
  <si>
    <t>123,0431</t>
  </si>
  <si>
    <t>Emelin Evgeniy</t>
  </si>
  <si>
    <t>Masters 50-54 (01.10.1964)/53</t>
  </si>
  <si>
    <t>75,20</t>
  </si>
  <si>
    <t>Krasnov Nikolay</t>
  </si>
  <si>
    <t>Masters 55-59 (22.07.1960)/57</t>
  </si>
  <si>
    <t>82,00</t>
  </si>
  <si>
    <t>Nikiforov Sergey</t>
  </si>
  <si>
    <t>Masters 70-74 (02.10.1947)/70</t>
  </si>
  <si>
    <t>79,40</t>
  </si>
  <si>
    <t>145</t>
  </si>
  <si>
    <t>157,7127</t>
  </si>
  <si>
    <t>Yakush Segey</t>
  </si>
  <si>
    <t>Juniors 20-23 (10.03.1995)/22</t>
  </si>
  <si>
    <t>Uglichin Ilya</t>
  </si>
  <si>
    <t>Open (16.03.1987)/30</t>
  </si>
  <si>
    <t>142,7899</t>
  </si>
  <si>
    <t>Hajiyev Kanan</t>
  </si>
  <si>
    <t>Open (23.03.1989)/28</t>
  </si>
  <si>
    <t>85,50</t>
  </si>
  <si>
    <t>Volkov Maksim</t>
  </si>
  <si>
    <t>Open (05.09.1984)/33</t>
  </si>
  <si>
    <t>Open (10.03.1995)/22</t>
  </si>
  <si>
    <t>Saghaei Javad</t>
  </si>
  <si>
    <t>Open (11.04.1976)/41</t>
  </si>
  <si>
    <t>98,90</t>
  </si>
  <si>
    <t>281,0</t>
  </si>
  <si>
    <t>Taivantumur Amarzaya</t>
  </si>
  <si>
    <t>Open (02.08.1987)/30</t>
  </si>
  <si>
    <t>93,50</t>
  </si>
  <si>
    <t>Karpov Denis</t>
  </si>
  <si>
    <t>Open (20.04.1981)/36</t>
  </si>
  <si>
    <t>Masters 40-44 (11.04.1976)/41</t>
  </si>
  <si>
    <t>Alyshev Nikolay</t>
  </si>
  <si>
    <t>Open (14.10.1985)/32</t>
  </si>
  <si>
    <t>108,30</t>
  </si>
  <si>
    <t>323,0</t>
  </si>
  <si>
    <t>Nagaytsev Oleg</t>
  </si>
  <si>
    <t>Open (19.03.1987)/30</t>
  </si>
  <si>
    <t>Aliyev Ali</t>
  </si>
  <si>
    <t>Open (28.01.1994)/23</t>
  </si>
  <si>
    <t>Peshko Vladimir</t>
  </si>
  <si>
    <t>Masters 45-49 (12.02.1970)/47</t>
  </si>
  <si>
    <t>Frank Vyacheslav</t>
  </si>
  <si>
    <t>Masters 55-59 (03.03.1962)/55</t>
  </si>
  <si>
    <t>100,30</t>
  </si>
  <si>
    <t>Abdyushev Eduard</t>
  </si>
  <si>
    <t>Masters 60-64 (02.03.1955)/62</t>
  </si>
  <si>
    <t>107,70</t>
  </si>
  <si>
    <t>Dvizov Yuriy</t>
  </si>
  <si>
    <t>Vetter Hans-Urlich</t>
  </si>
  <si>
    <t>Masters 65-69 (09.04.1952)/65</t>
  </si>
  <si>
    <t>105,40</t>
  </si>
  <si>
    <t>89,9196</t>
  </si>
  <si>
    <t>Shishlyannikov Dmitriy</t>
  </si>
  <si>
    <t>Open (23.04.1980)/37</t>
  </si>
  <si>
    <t>122,80</t>
  </si>
  <si>
    <t>Jafarov Zaur</t>
  </si>
  <si>
    <t>Open (05.09.1980)/37</t>
  </si>
  <si>
    <t>112,20</t>
  </si>
  <si>
    <t>Isaev Aleksey</t>
  </si>
  <si>
    <t>Open (20.06.1975)/42</t>
  </si>
  <si>
    <t>115,00</t>
  </si>
  <si>
    <t>Begalko Anton</t>
  </si>
  <si>
    <t>Open (06.11.1986)/31</t>
  </si>
  <si>
    <t>120,80</t>
  </si>
  <si>
    <t>Masters 40-44 (20.06.1975)/42</t>
  </si>
  <si>
    <t>Halimimamghani Bahman</t>
  </si>
  <si>
    <t>Open (08.02.1984)/33</t>
  </si>
  <si>
    <t>133,00</t>
  </si>
  <si>
    <t>300</t>
  </si>
  <si>
    <t>161,2260</t>
  </si>
  <si>
    <t>Laine Veijo</t>
  </si>
  <si>
    <t>Masters 65-69 (12.04.1952)/65</t>
  </si>
  <si>
    <t>125,70</t>
  </si>
  <si>
    <t>Zamani Danial</t>
  </si>
  <si>
    <t>Open (03.09.1991)/26</t>
  </si>
  <si>
    <t>140,60</t>
  </si>
  <si>
    <t>336,0</t>
  </si>
  <si>
    <t>Lisogor Oleksii</t>
  </si>
  <si>
    <t>Open (30.04.1986)/31</t>
  </si>
  <si>
    <t>163,0877</t>
  </si>
  <si>
    <t>131,2147</t>
  </si>
  <si>
    <t>144,9752</t>
  </si>
  <si>
    <t>128,0029</t>
  </si>
  <si>
    <t>123,6520</t>
  </si>
  <si>
    <t>120,0960</t>
  </si>
  <si>
    <t>183,0708</t>
  </si>
  <si>
    <t>182,2125</t>
  </si>
  <si>
    <t>163,6688</t>
  </si>
  <si>
    <t>163,5340</t>
  </si>
  <si>
    <t>160,0879</t>
  </si>
  <si>
    <t>158,9073</t>
  </si>
  <si>
    <t>154,8400</t>
  </si>
  <si>
    <t>149,7990</t>
  </si>
  <si>
    <t>144,1250</t>
  </si>
  <si>
    <t>141,2737</t>
  </si>
  <si>
    <t>139,8720</t>
  </si>
  <si>
    <t>139,7400</t>
  </si>
  <si>
    <t>139,0625</t>
  </si>
  <si>
    <t>138,6770</t>
  </si>
  <si>
    <t>73,8980</t>
  </si>
  <si>
    <t>181,0045</t>
  </si>
  <si>
    <t>174,3746</t>
  </si>
  <si>
    <t>173,4410</t>
  </si>
  <si>
    <t>165,1693</t>
  </si>
  <si>
    <t>160,2699</t>
  </si>
  <si>
    <t>144,2080</t>
  </si>
  <si>
    <t>141,8437</t>
  </si>
  <si>
    <t>136,9713</t>
  </si>
  <si>
    <t>126,1058</t>
  </si>
  <si>
    <t>124,3523</t>
  </si>
  <si>
    <t>120,9100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</si>
</sst>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_(* #,##0.00_);_(* \(#,##0.00\);_(* &quot;-&quot;??_);_(@_)"/>
  </numFmts>
  <fonts count="53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24"/>
      <name val="Arial Cyr"/>
      <family val="2"/>
    </font>
    <font>
      <sz val="11"/>
      <name val="Arial Cyr"/>
      <family val="2"/>
    </font>
    <font>
      <strike/>
      <sz val="1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1"/>
      <name val="Arial Cyr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4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0" borderId="1" applyNumberFormat="0" applyAlignment="0" applyProtection="0"/>
    <xf numFmtId="0" fontId="38" fillId="0" borderId="2" applyNumberFormat="0" applyFill="0" applyAlignment="0" applyProtection="0"/>
    <xf numFmtId="0" fontId="1" fillId="41" borderId="3" applyNumberFormat="0" applyFont="0" applyAlignment="0" applyProtection="0"/>
    <xf numFmtId="0" fontId="39" fillId="42" borderId="1" applyNumberFormat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4" fontId="11" fillId="0" borderId="0" applyFill="0" applyBorder="0" applyAlignment="0" applyProtection="0"/>
    <xf numFmtId="0" fontId="43" fillId="44" borderId="0" applyNumberFormat="0" applyBorder="0" applyAlignment="0" applyProtection="0"/>
    <xf numFmtId="9" fontId="11" fillId="0" borderId="0" applyFill="0" applyBorder="0" applyAlignment="0" applyProtection="0"/>
    <xf numFmtId="0" fontId="44" fillId="45" borderId="0" applyNumberFormat="0" applyBorder="0" applyAlignment="0" applyProtection="0"/>
    <xf numFmtId="0" fontId="45" fillId="4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46" borderId="8" applyNumberFormat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28" fillId="13" borderId="9" applyNumberFormat="0" applyAlignment="0" applyProtection="0"/>
    <xf numFmtId="0" fontId="26" fillId="51" borderId="10" applyNumberFormat="0" applyAlignment="0" applyProtection="0"/>
    <xf numFmtId="0" fontId="22" fillId="51" borderId="9" applyNumberFormat="0" applyAlignment="0" applyProtection="0"/>
    <xf numFmtId="0" fontId="15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12" fillId="52" borderId="15" applyNumberFormat="0" applyAlignment="0" applyProtection="0"/>
    <xf numFmtId="0" fontId="2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2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4" borderId="16" applyNumberFormat="0" applyAlignment="0" applyProtection="0"/>
    <xf numFmtId="0" fontId="2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32" fillId="10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/>
    </xf>
    <xf numFmtId="49" fontId="3" fillId="0" borderId="2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right" vertical="center"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ellule liée" xfId="59"/>
    <cellStyle name="Commentaire" xfId="60"/>
    <cellStyle name="Entrée" xfId="61"/>
    <cellStyle name="Insatisfaisant" xfId="62"/>
    <cellStyle name="Hyperlink" xfId="63"/>
    <cellStyle name="Followed Hyperlink" xfId="64"/>
    <cellStyle name="Comma" xfId="65"/>
    <cellStyle name="Comma [0]" xfId="66"/>
    <cellStyle name="Currency" xfId="67"/>
    <cellStyle name="Currency [0]" xfId="68"/>
    <cellStyle name="Neutre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7">
      <selection activeCell="A11" sqref="E11"/>
    </sheetView>
  </sheetViews>
  <sheetFormatPr defaultColWidth="8.875" defaultRowHeight="12.75"/>
  <cols>
    <col min="1" max="1" width="24.875" style="6" customWidth="1"/>
    <col min="2" max="2" width="26.625" style="6" customWidth="1"/>
    <col min="3" max="3" width="7.625" style="6" customWidth="1"/>
    <col min="4" max="4" width="6.625" style="6" customWidth="1"/>
    <col min="5" max="5" width="17.00390625" style="6" customWidth="1"/>
    <col min="6" max="9" width="5.625" style="6" customWidth="1"/>
    <col min="10" max="10" width="6.25390625" style="27" customWidth="1"/>
    <col min="11" max="11" width="8.625" style="6" customWidth="1"/>
    <col min="12" max="12" width="7.125" style="6" customWidth="1"/>
  </cols>
  <sheetData>
    <row r="1" spans="1:12" s="2" customFormat="1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4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2.75" customHeight="1">
      <c r="A3" s="49" t="s">
        <v>1</v>
      </c>
      <c r="B3" s="50" t="s">
        <v>2</v>
      </c>
      <c r="C3" s="50" t="s">
        <v>3</v>
      </c>
      <c r="D3" s="51" t="s">
        <v>4</v>
      </c>
      <c r="E3" s="51" t="s">
        <v>5</v>
      </c>
      <c r="F3" s="46" t="s">
        <v>6</v>
      </c>
      <c r="G3" s="46"/>
      <c r="H3" s="46"/>
      <c r="I3" s="46"/>
      <c r="J3" s="52" t="s">
        <v>7</v>
      </c>
      <c r="K3" s="51" t="s">
        <v>8</v>
      </c>
      <c r="L3" s="53" t="s">
        <v>9</v>
      </c>
    </row>
    <row r="4" spans="1:12" s="1" customFormat="1" ht="23.25" customHeight="1">
      <c r="A4" s="49"/>
      <c r="B4" s="50"/>
      <c r="C4" s="50"/>
      <c r="D4" s="50"/>
      <c r="E4" s="50"/>
      <c r="F4" s="3">
        <v>1</v>
      </c>
      <c r="G4" s="4">
        <v>2</v>
      </c>
      <c r="H4" s="4">
        <v>3</v>
      </c>
      <c r="I4" s="5" t="s">
        <v>10</v>
      </c>
      <c r="J4" s="52"/>
      <c r="K4" s="51"/>
      <c r="L4" s="53"/>
    </row>
    <row r="5" spans="1:11" ht="15">
      <c r="A5" s="47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2.75">
      <c r="A6" s="8" t="s">
        <v>12</v>
      </c>
      <c r="B6" s="8" t="s">
        <v>13</v>
      </c>
      <c r="C6" s="8" t="s">
        <v>14</v>
      </c>
      <c r="D6" s="8" t="str">
        <f>"1,4271"</f>
        <v>1,4271</v>
      </c>
      <c r="E6" s="8" t="s">
        <v>15</v>
      </c>
      <c r="F6" s="13" t="s">
        <v>16</v>
      </c>
      <c r="G6" s="13"/>
      <c r="H6" s="13"/>
      <c r="I6" s="13"/>
      <c r="J6" s="32">
        <v>0</v>
      </c>
      <c r="K6" s="8" t="str">
        <f>"0,0000"</f>
        <v>0,0000</v>
      </c>
      <c r="L6" s="8"/>
    </row>
    <row r="8" spans="1:11" ht="15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ht="12.75">
      <c r="A9" s="9" t="s">
        <v>18</v>
      </c>
      <c r="B9" s="9" t="s">
        <v>19</v>
      </c>
      <c r="C9" s="9" t="s">
        <v>20</v>
      </c>
      <c r="D9" s="9" t="str">
        <f>"0,6456"</f>
        <v>0,6456</v>
      </c>
      <c r="E9" s="9" t="s">
        <v>21</v>
      </c>
      <c r="F9" s="10" t="s">
        <v>22</v>
      </c>
      <c r="G9" s="9" t="s">
        <v>23</v>
      </c>
      <c r="H9" s="9" t="s">
        <v>24</v>
      </c>
      <c r="I9" s="10"/>
      <c r="J9" s="28">
        <v>285</v>
      </c>
      <c r="K9" s="9" t="str">
        <f>"183,9960"</f>
        <v>183,9960</v>
      </c>
      <c r="L9" s="9"/>
    </row>
    <row r="10" spans="1:12" ht="12.75">
      <c r="A10" s="14" t="s">
        <v>25</v>
      </c>
      <c r="B10" s="14" t="s">
        <v>26</v>
      </c>
      <c r="C10" s="14" t="s">
        <v>20</v>
      </c>
      <c r="D10" s="14" t="str">
        <f>"0,6456"</f>
        <v>0,6456</v>
      </c>
      <c r="E10" s="14" t="s">
        <v>21</v>
      </c>
      <c r="F10" s="15" t="s">
        <v>27</v>
      </c>
      <c r="G10" s="14" t="s">
        <v>27</v>
      </c>
      <c r="H10" s="14" t="s">
        <v>28</v>
      </c>
      <c r="I10" s="15"/>
      <c r="J10" s="34">
        <v>200</v>
      </c>
      <c r="K10" s="14" t="str">
        <f>"129,1200"</f>
        <v>129,1200</v>
      </c>
      <c r="L10" s="14"/>
    </row>
    <row r="11" spans="1:12" ht="12.75">
      <c r="A11" s="14" t="s">
        <v>29</v>
      </c>
      <c r="B11" s="14" t="s">
        <v>30</v>
      </c>
      <c r="C11" s="14" t="s">
        <v>31</v>
      </c>
      <c r="D11" s="14" t="str">
        <f>"0,6513"</f>
        <v>0,6513</v>
      </c>
      <c r="E11" s="14" t="s">
        <v>32</v>
      </c>
      <c r="F11" s="15" t="s">
        <v>33</v>
      </c>
      <c r="G11" s="15" t="s">
        <v>33</v>
      </c>
      <c r="H11" s="15" t="s">
        <v>33</v>
      </c>
      <c r="I11" s="15"/>
      <c r="J11" s="34">
        <v>0</v>
      </c>
      <c r="K11" s="14" t="str">
        <f>"0,0000"</f>
        <v>0,0000</v>
      </c>
      <c r="L11" s="14"/>
    </row>
    <row r="12" spans="1:12" ht="12.75">
      <c r="A12" s="11" t="s">
        <v>25</v>
      </c>
      <c r="B12" s="11" t="s">
        <v>34</v>
      </c>
      <c r="C12" s="11" t="s">
        <v>20</v>
      </c>
      <c r="D12" s="11" t="str">
        <f>"0,8490"</f>
        <v>0,8490</v>
      </c>
      <c r="E12" s="11" t="s">
        <v>21</v>
      </c>
      <c r="F12" s="12" t="s">
        <v>27</v>
      </c>
      <c r="G12" s="11" t="s">
        <v>27</v>
      </c>
      <c r="H12" s="11" t="s">
        <v>28</v>
      </c>
      <c r="I12" s="12"/>
      <c r="J12" s="33">
        <v>200</v>
      </c>
      <c r="K12" s="11" t="str">
        <f>"169,7928"</f>
        <v>169,7928</v>
      </c>
      <c r="L12" s="11"/>
    </row>
    <row r="14" spans="1:11" ht="15">
      <c r="A14" s="48" t="s">
        <v>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2" ht="12.75">
      <c r="A15" s="9" t="s">
        <v>36</v>
      </c>
      <c r="B15" s="9" t="s">
        <v>37</v>
      </c>
      <c r="C15" s="9" t="s">
        <v>38</v>
      </c>
      <c r="D15" s="9" t="str">
        <f>"0,6145"</f>
        <v>0,6145</v>
      </c>
      <c r="E15" s="9" t="s">
        <v>39</v>
      </c>
      <c r="F15" s="10" t="s">
        <v>33</v>
      </c>
      <c r="G15" s="9" t="s">
        <v>33</v>
      </c>
      <c r="H15" s="9" t="s">
        <v>40</v>
      </c>
      <c r="I15" s="10"/>
      <c r="J15" s="28">
        <v>260</v>
      </c>
      <c r="K15" s="9" t="str">
        <f>"159,7830"</f>
        <v>159,7830</v>
      </c>
      <c r="L15" s="9"/>
    </row>
    <row r="16" spans="1:12" ht="12.75">
      <c r="A16" s="14" t="s">
        <v>41</v>
      </c>
      <c r="B16" s="14" t="s">
        <v>42</v>
      </c>
      <c r="C16" s="14" t="s">
        <v>43</v>
      </c>
      <c r="D16" s="14" t="str">
        <f>"0,6126"</f>
        <v>0,6126</v>
      </c>
      <c r="E16" s="14" t="s">
        <v>39</v>
      </c>
      <c r="F16" s="15" t="s">
        <v>44</v>
      </c>
      <c r="G16" s="15" t="s">
        <v>45</v>
      </c>
      <c r="H16" s="15"/>
      <c r="I16" s="15"/>
      <c r="J16" s="34">
        <v>0</v>
      </c>
      <c r="K16" s="14" t="str">
        <f>"0,0000"</f>
        <v>0,0000</v>
      </c>
      <c r="L16" s="14"/>
    </row>
    <row r="17" spans="1:12" ht="12.75">
      <c r="A17" s="11" t="s">
        <v>46</v>
      </c>
      <c r="B17" s="11" t="s">
        <v>47</v>
      </c>
      <c r="C17" s="11" t="s">
        <v>48</v>
      </c>
      <c r="D17" s="11" t="str">
        <f>"0,7763"</f>
        <v>0,7763</v>
      </c>
      <c r="E17" s="11" t="s">
        <v>49</v>
      </c>
      <c r="F17" s="11" t="s">
        <v>50</v>
      </c>
      <c r="G17" s="11" t="s">
        <v>51</v>
      </c>
      <c r="H17" s="12" t="s">
        <v>52</v>
      </c>
      <c r="I17" s="12"/>
      <c r="J17" s="33">
        <v>245</v>
      </c>
      <c r="K17" s="11" t="str">
        <f>"190,2016"</f>
        <v>190,2016</v>
      </c>
      <c r="L17" s="11"/>
    </row>
    <row r="19" spans="1:11" ht="15">
      <c r="A19" s="48" t="s">
        <v>53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2" ht="12.75">
      <c r="A20" s="8" t="s">
        <v>54</v>
      </c>
      <c r="B20" s="8" t="s">
        <v>55</v>
      </c>
      <c r="C20" s="8" t="s">
        <v>56</v>
      </c>
      <c r="D20" s="8" t="str">
        <f>"0,5828"</f>
        <v>0,5828</v>
      </c>
      <c r="E20" s="8" t="s">
        <v>39</v>
      </c>
      <c r="F20" s="13" t="s">
        <v>40</v>
      </c>
      <c r="G20" s="13" t="s">
        <v>40</v>
      </c>
      <c r="H20" s="8" t="s">
        <v>40</v>
      </c>
      <c r="I20" s="13"/>
      <c r="J20" s="32">
        <v>260</v>
      </c>
      <c r="K20" s="8" t="str">
        <f>"151,5280"</f>
        <v>151,5280</v>
      </c>
      <c r="L20" s="8"/>
    </row>
    <row r="22" spans="1:11" ht="15">
      <c r="A22" s="48" t="s">
        <v>57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2" ht="12.75">
      <c r="A23" s="36" t="s">
        <v>58</v>
      </c>
      <c r="B23" s="36" t="s">
        <v>59</v>
      </c>
      <c r="C23" s="36" t="s">
        <v>60</v>
      </c>
      <c r="D23" s="36" t="str">
        <f>"0,5738"</f>
        <v>0,5738</v>
      </c>
      <c r="E23" s="36" t="s">
        <v>61</v>
      </c>
      <c r="F23" s="36" t="s">
        <v>62</v>
      </c>
      <c r="G23" s="37" t="s">
        <v>63</v>
      </c>
      <c r="H23" s="37" t="s">
        <v>64</v>
      </c>
      <c r="I23" s="40"/>
      <c r="J23" s="41" t="s">
        <v>65</v>
      </c>
      <c r="K23" s="42" t="s">
        <v>66</v>
      </c>
      <c r="L23" s="36"/>
    </row>
    <row r="24" spans="1:12" ht="12.75">
      <c r="A24" s="38" t="s">
        <v>67</v>
      </c>
      <c r="B24" s="38" t="s">
        <v>68</v>
      </c>
      <c r="C24" s="38" t="s">
        <v>69</v>
      </c>
      <c r="D24" s="38" t="str">
        <f>"0,5625"</f>
        <v>0,5625</v>
      </c>
      <c r="E24" s="38" t="s">
        <v>49</v>
      </c>
      <c r="F24" s="38" t="s">
        <v>23</v>
      </c>
      <c r="G24" s="39" t="s">
        <v>70</v>
      </c>
      <c r="H24" s="38" t="s">
        <v>71</v>
      </c>
      <c r="I24" s="43"/>
      <c r="J24" s="44">
        <v>305</v>
      </c>
      <c r="K24" s="45" t="str">
        <f>"171,5625"</f>
        <v>171,5625</v>
      </c>
      <c r="L24" s="38"/>
    </row>
    <row r="25" spans="1:12" ht="12.75">
      <c r="A25" s="14" t="s">
        <v>72</v>
      </c>
      <c r="B25" s="14" t="s">
        <v>73</v>
      </c>
      <c r="C25" s="14" t="s">
        <v>74</v>
      </c>
      <c r="D25" s="14" t="str">
        <f>"0,5724"</f>
        <v>0,5724</v>
      </c>
      <c r="E25" s="14" t="s">
        <v>39</v>
      </c>
      <c r="F25" s="14" t="s">
        <v>75</v>
      </c>
      <c r="G25" s="15" t="s">
        <v>76</v>
      </c>
      <c r="H25" s="15" t="s">
        <v>76</v>
      </c>
      <c r="I25" s="15"/>
      <c r="J25" s="34">
        <v>290</v>
      </c>
      <c r="K25" s="14" t="str">
        <f>"165,9960"</f>
        <v>165,9960</v>
      </c>
      <c r="L25" s="14"/>
    </row>
    <row r="26" spans="1:12" ht="12.75">
      <c r="A26" s="14" t="s">
        <v>77</v>
      </c>
      <c r="B26" s="14" t="s">
        <v>78</v>
      </c>
      <c r="C26" s="14" t="s">
        <v>79</v>
      </c>
      <c r="D26" s="14" t="str">
        <f>"0,5634"</f>
        <v>0,5634</v>
      </c>
      <c r="E26" s="14" t="s">
        <v>21</v>
      </c>
      <c r="F26" s="15" t="s">
        <v>80</v>
      </c>
      <c r="G26" s="14" t="s">
        <v>80</v>
      </c>
      <c r="H26" s="15" t="s">
        <v>40</v>
      </c>
      <c r="I26" s="15"/>
      <c r="J26" s="34">
        <v>250</v>
      </c>
      <c r="K26" s="14" t="str">
        <f>"140,8375"</f>
        <v>140,8375</v>
      </c>
      <c r="L26" s="14"/>
    </row>
    <row r="27" spans="1:12" ht="12.75">
      <c r="A27" s="14" t="s">
        <v>81</v>
      </c>
      <c r="B27" s="14" t="s">
        <v>82</v>
      </c>
      <c r="C27" s="14" t="s">
        <v>83</v>
      </c>
      <c r="D27" s="14" t="str">
        <f>"0,5671"</f>
        <v>0,5671</v>
      </c>
      <c r="E27" s="14" t="s">
        <v>49</v>
      </c>
      <c r="F27" s="15" t="s">
        <v>75</v>
      </c>
      <c r="G27" s="15" t="s">
        <v>75</v>
      </c>
      <c r="H27" s="15" t="s">
        <v>84</v>
      </c>
      <c r="I27" s="15"/>
      <c r="J27" s="34">
        <v>0</v>
      </c>
      <c r="K27" s="14" t="str">
        <f>"0,0000"</f>
        <v>0,0000</v>
      </c>
      <c r="L27" s="14"/>
    </row>
    <row r="28" spans="1:12" ht="12.75">
      <c r="A28" s="14" t="s">
        <v>85</v>
      </c>
      <c r="B28" s="14" t="s">
        <v>86</v>
      </c>
      <c r="C28" s="14" t="s">
        <v>87</v>
      </c>
      <c r="D28" s="14" t="str">
        <f>"0,6127"</f>
        <v>0,6127</v>
      </c>
      <c r="E28" s="14" t="s">
        <v>21</v>
      </c>
      <c r="F28" s="14" t="s">
        <v>88</v>
      </c>
      <c r="G28" s="15" t="s">
        <v>51</v>
      </c>
      <c r="H28" s="15" t="s">
        <v>89</v>
      </c>
      <c r="I28" s="15"/>
      <c r="J28" s="34">
        <v>230</v>
      </c>
      <c r="K28" s="14" t="str">
        <f>"140,9294"</f>
        <v>140,9294</v>
      </c>
      <c r="L28" s="14"/>
    </row>
    <row r="29" spans="1:12" ht="12.75">
      <c r="A29" s="14" t="s">
        <v>81</v>
      </c>
      <c r="B29" s="14" t="s">
        <v>90</v>
      </c>
      <c r="C29" s="14" t="s">
        <v>83</v>
      </c>
      <c r="D29" s="14" t="str">
        <f>"0,6221"</f>
        <v>0,6221</v>
      </c>
      <c r="E29" s="14" t="s">
        <v>49</v>
      </c>
      <c r="F29" s="15" t="s">
        <v>75</v>
      </c>
      <c r="G29" s="15" t="s">
        <v>75</v>
      </c>
      <c r="H29" s="15" t="s">
        <v>84</v>
      </c>
      <c r="I29" s="15"/>
      <c r="J29" s="34">
        <v>0</v>
      </c>
      <c r="K29" s="14" t="str">
        <f>"0,0000"</f>
        <v>0,0000</v>
      </c>
      <c r="L29" s="14"/>
    </row>
    <row r="30" spans="1:12" ht="12.75">
      <c r="A30" s="14" t="s">
        <v>91</v>
      </c>
      <c r="B30" s="14" t="s">
        <v>92</v>
      </c>
      <c r="C30" s="14" t="s">
        <v>69</v>
      </c>
      <c r="D30" s="14" t="str">
        <f>"0,6008"</f>
        <v>0,6008</v>
      </c>
      <c r="E30" s="14" t="s">
        <v>21</v>
      </c>
      <c r="F30" s="14" t="s">
        <v>89</v>
      </c>
      <c r="G30" s="15" t="s">
        <v>22</v>
      </c>
      <c r="H30" s="15" t="s">
        <v>22</v>
      </c>
      <c r="I30" s="15"/>
      <c r="J30" s="19" t="s">
        <v>93</v>
      </c>
      <c r="K30" s="14" t="s">
        <v>94</v>
      </c>
      <c r="L30" s="14"/>
    </row>
    <row r="31" spans="1:12" ht="12.75">
      <c r="A31" s="11" t="s">
        <v>95</v>
      </c>
      <c r="B31" s="11" t="s">
        <v>96</v>
      </c>
      <c r="C31" s="11" t="s">
        <v>97</v>
      </c>
      <c r="D31" s="11" t="str">
        <f>"1,0579"</f>
        <v>1,0579</v>
      </c>
      <c r="E31" s="11" t="s">
        <v>98</v>
      </c>
      <c r="F31" s="11" t="s">
        <v>99</v>
      </c>
      <c r="G31" s="12"/>
      <c r="H31" s="12"/>
      <c r="I31" s="12"/>
      <c r="J31" s="18" t="s">
        <v>100</v>
      </c>
      <c r="K31" s="11" t="s">
        <v>101</v>
      </c>
      <c r="L31" s="11"/>
    </row>
    <row r="33" spans="1:11" ht="15">
      <c r="A33" s="48" t="s">
        <v>102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2" ht="12.75">
      <c r="A34" s="9" t="s">
        <v>103</v>
      </c>
      <c r="B34" s="9" t="s">
        <v>104</v>
      </c>
      <c r="C34" s="9" t="s">
        <v>105</v>
      </c>
      <c r="D34" s="9" t="str">
        <f>"0,5566"</f>
        <v>0,5566</v>
      </c>
      <c r="E34" s="9" t="s">
        <v>49</v>
      </c>
      <c r="F34" s="9" t="s">
        <v>84</v>
      </c>
      <c r="G34" s="10"/>
      <c r="H34" s="10"/>
      <c r="I34" s="10"/>
      <c r="J34" s="28">
        <v>300</v>
      </c>
      <c r="K34" s="9" t="str">
        <f>"166,9650"</f>
        <v>166,9650</v>
      </c>
      <c r="L34" s="9"/>
    </row>
    <row r="35" spans="1:12" ht="12.75">
      <c r="A35" s="14" t="s">
        <v>106</v>
      </c>
      <c r="B35" s="14" t="s">
        <v>107</v>
      </c>
      <c r="C35" s="14" t="s">
        <v>108</v>
      </c>
      <c r="D35" s="14" t="str">
        <f>"0,5494"</f>
        <v>0,5494</v>
      </c>
      <c r="E35" s="14" t="s">
        <v>109</v>
      </c>
      <c r="F35" s="15" t="s">
        <v>110</v>
      </c>
      <c r="G35" s="14" t="s">
        <v>110</v>
      </c>
      <c r="H35" s="15"/>
      <c r="I35" s="15"/>
      <c r="J35" s="34">
        <v>55</v>
      </c>
      <c r="K35" s="14" t="str">
        <f>"30,2170"</f>
        <v>30,2170</v>
      </c>
      <c r="L35" s="14"/>
    </row>
    <row r="36" spans="1:12" ht="12.75">
      <c r="A36" s="14" t="s">
        <v>111</v>
      </c>
      <c r="B36" s="14" t="s">
        <v>112</v>
      </c>
      <c r="C36" s="14" t="s">
        <v>113</v>
      </c>
      <c r="D36" s="14" t="str">
        <f>"0,5530"</f>
        <v>0,5530</v>
      </c>
      <c r="E36" s="14" t="s">
        <v>32</v>
      </c>
      <c r="F36" s="15" t="s">
        <v>64</v>
      </c>
      <c r="G36" s="15" t="s">
        <v>114</v>
      </c>
      <c r="H36" s="15" t="s">
        <v>115</v>
      </c>
      <c r="I36" s="15"/>
      <c r="J36" s="34">
        <v>0</v>
      </c>
      <c r="K36" s="14" t="str">
        <f>"0,0000"</f>
        <v>0,0000</v>
      </c>
      <c r="L36" s="14"/>
    </row>
    <row r="37" spans="1:12" ht="12.75">
      <c r="A37" s="14" t="s">
        <v>103</v>
      </c>
      <c r="B37" s="14" t="s">
        <v>116</v>
      </c>
      <c r="C37" s="14" t="s">
        <v>105</v>
      </c>
      <c r="D37" s="14" t="str">
        <f>"0,6022"</f>
        <v>0,6022</v>
      </c>
      <c r="E37" s="14" t="s">
        <v>49</v>
      </c>
      <c r="F37" s="14" t="s">
        <v>84</v>
      </c>
      <c r="G37" s="14" t="s">
        <v>117</v>
      </c>
      <c r="H37" s="14" t="s">
        <v>118</v>
      </c>
      <c r="I37" s="15" t="s">
        <v>119</v>
      </c>
      <c r="J37" s="34">
        <v>320</v>
      </c>
      <c r="K37" s="14" t="str">
        <f>"192,6999"</f>
        <v>192,6999</v>
      </c>
      <c r="L37" s="14"/>
    </row>
    <row r="38" spans="1:12" ht="12.75">
      <c r="A38" s="11" t="s">
        <v>120</v>
      </c>
      <c r="B38" s="11" t="s">
        <v>121</v>
      </c>
      <c r="C38" s="11" t="s">
        <v>122</v>
      </c>
      <c r="D38" s="11" t="str">
        <f>"0,6169"</f>
        <v>0,6169</v>
      </c>
      <c r="E38" s="11" t="s">
        <v>98</v>
      </c>
      <c r="F38" s="11" t="s">
        <v>123</v>
      </c>
      <c r="G38" s="12" t="s">
        <v>124</v>
      </c>
      <c r="H38" s="12" t="s">
        <v>124</v>
      </c>
      <c r="I38" s="12"/>
      <c r="J38" s="33">
        <v>125</v>
      </c>
      <c r="K38" s="11" t="str">
        <f>"77,1084"</f>
        <v>77,1084</v>
      </c>
      <c r="L38" s="11"/>
    </row>
    <row r="40" spans="1:11" ht="15">
      <c r="A40" s="48" t="s">
        <v>125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2" ht="12.75">
      <c r="A41" s="9" t="s">
        <v>126</v>
      </c>
      <c r="B41" s="9" t="s">
        <v>127</v>
      </c>
      <c r="C41" s="9" t="s">
        <v>128</v>
      </c>
      <c r="D41" s="9" t="str">
        <f>"0,5409"</f>
        <v>0,5409</v>
      </c>
      <c r="E41" s="9" t="s">
        <v>32</v>
      </c>
      <c r="F41" s="9" t="s">
        <v>129</v>
      </c>
      <c r="G41" s="9" t="s">
        <v>130</v>
      </c>
      <c r="H41" s="10" t="s">
        <v>131</v>
      </c>
      <c r="I41" s="10"/>
      <c r="J41" s="28">
        <v>357.5</v>
      </c>
      <c r="K41" s="9" t="str">
        <f>"193,3825"</f>
        <v>193,3825</v>
      </c>
      <c r="L41" s="9"/>
    </row>
    <row r="42" spans="1:12" ht="12.75">
      <c r="A42" s="11" t="s">
        <v>132</v>
      </c>
      <c r="B42" s="11" t="s">
        <v>133</v>
      </c>
      <c r="C42" s="11" t="s">
        <v>134</v>
      </c>
      <c r="D42" s="11" t="str">
        <f>"0,5446"</f>
        <v>0,5446</v>
      </c>
      <c r="E42" s="11" t="s">
        <v>109</v>
      </c>
      <c r="F42" s="11" t="s">
        <v>44</v>
      </c>
      <c r="G42" s="11" t="s">
        <v>135</v>
      </c>
      <c r="H42" s="12" t="s">
        <v>52</v>
      </c>
      <c r="I42" s="12"/>
      <c r="J42" s="33">
        <v>232.5</v>
      </c>
      <c r="K42" s="11" t="str">
        <f>"126,6172"</f>
        <v>126,6172</v>
      </c>
      <c r="L42" s="11"/>
    </row>
    <row r="44" spans="1:11" ht="15">
      <c r="A44" s="48" t="s">
        <v>136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2" ht="12.75">
      <c r="A45" s="9" t="s">
        <v>137</v>
      </c>
      <c r="B45" s="9" t="s">
        <v>138</v>
      </c>
      <c r="C45" s="9" t="s">
        <v>139</v>
      </c>
      <c r="D45" s="9" t="str">
        <f>"0,5286"</f>
        <v>0,5286</v>
      </c>
      <c r="E45" s="9" t="s">
        <v>109</v>
      </c>
      <c r="F45" s="9" t="s">
        <v>140</v>
      </c>
      <c r="G45" s="10" t="s">
        <v>141</v>
      </c>
      <c r="H45" s="10" t="s">
        <v>28</v>
      </c>
      <c r="I45" s="10"/>
      <c r="J45" s="17" t="s">
        <v>142</v>
      </c>
      <c r="K45" s="9" t="s">
        <v>143</v>
      </c>
      <c r="L45" s="9"/>
    </row>
    <row r="46" spans="1:12" ht="12.75">
      <c r="A46" s="11" t="s">
        <v>144</v>
      </c>
      <c r="B46" s="11" t="s">
        <v>145</v>
      </c>
      <c r="C46" s="11" t="s">
        <v>146</v>
      </c>
      <c r="D46" s="11" t="str">
        <f>"0,6860"</f>
        <v>0,6860</v>
      </c>
      <c r="E46" s="11" t="s">
        <v>109</v>
      </c>
      <c r="F46" s="11" t="s">
        <v>147</v>
      </c>
      <c r="G46" s="12"/>
      <c r="H46" s="12"/>
      <c r="I46" s="12"/>
      <c r="J46" s="33">
        <v>160</v>
      </c>
      <c r="K46" s="11" t="str">
        <f>"109,7604"</f>
        <v>109,7604</v>
      </c>
      <c r="L46" s="11"/>
    </row>
    <row r="48" ht="15">
      <c r="E48" s="20" t="s">
        <v>148</v>
      </c>
    </row>
    <row r="49" ht="15">
      <c r="E49" s="20" t="s">
        <v>149</v>
      </c>
    </row>
    <row r="50" ht="15">
      <c r="E50" s="20" t="s">
        <v>150</v>
      </c>
    </row>
    <row r="51" ht="12.75">
      <c r="E51" s="6" t="s">
        <v>151</v>
      </c>
    </row>
    <row r="52" ht="12.75">
      <c r="E52" s="6" t="s">
        <v>152</v>
      </c>
    </row>
    <row r="53" ht="12.75">
      <c r="E53" s="6" t="s">
        <v>153</v>
      </c>
    </row>
    <row r="57" spans="1:2" ht="18">
      <c r="A57" s="21" t="s">
        <v>154</v>
      </c>
      <c r="B57" s="21"/>
    </row>
    <row r="58" spans="1:2" ht="15">
      <c r="A58" s="22" t="s">
        <v>155</v>
      </c>
      <c r="B58" s="22"/>
    </row>
    <row r="59" spans="1:2" ht="14.25">
      <c r="A59" s="23" t="s">
        <v>156</v>
      </c>
      <c r="B59" s="24"/>
    </row>
    <row r="60" spans="1:5" ht="15">
      <c r="A60" s="25" t="s">
        <v>1</v>
      </c>
      <c r="B60" s="25" t="s">
        <v>157</v>
      </c>
      <c r="C60" s="25" t="s">
        <v>158</v>
      </c>
      <c r="D60" s="25" t="s">
        <v>7</v>
      </c>
      <c r="E60" s="25" t="s">
        <v>159</v>
      </c>
    </row>
    <row r="61" spans="1:5" ht="12.75">
      <c r="A61" s="26" t="s">
        <v>126</v>
      </c>
      <c r="B61" s="6" t="s">
        <v>156</v>
      </c>
      <c r="C61" s="6" t="s">
        <v>160</v>
      </c>
      <c r="D61" s="6" t="s">
        <v>130</v>
      </c>
      <c r="E61" s="27" t="s">
        <v>161</v>
      </c>
    </row>
    <row r="62" spans="1:5" ht="12.75">
      <c r="A62" s="29" t="s">
        <v>162</v>
      </c>
      <c r="B62" s="6" t="s">
        <v>156</v>
      </c>
      <c r="C62" s="6" t="s">
        <v>163</v>
      </c>
      <c r="D62" s="29" t="s">
        <v>65</v>
      </c>
      <c r="E62" s="31" t="s">
        <v>66</v>
      </c>
    </row>
    <row r="63" spans="1:5" ht="12.75">
      <c r="A63" s="26" t="s">
        <v>18</v>
      </c>
      <c r="B63" s="6" t="s">
        <v>156</v>
      </c>
      <c r="C63" s="6" t="s">
        <v>164</v>
      </c>
      <c r="D63" s="6" t="s">
        <v>24</v>
      </c>
      <c r="E63" s="27" t="s">
        <v>165</v>
      </c>
    </row>
    <row r="64" spans="1:5" ht="12.75">
      <c r="A64" s="26" t="s">
        <v>67</v>
      </c>
      <c r="B64" s="6" t="s">
        <v>156</v>
      </c>
      <c r="C64" s="6" t="s">
        <v>163</v>
      </c>
      <c r="D64" s="6" t="s">
        <v>71</v>
      </c>
      <c r="E64" s="27" t="s">
        <v>166</v>
      </c>
    </row>
    <row r="65" spans="1:5" ht="12.75">
      <c r="A65" s="26" t="s">
        <v>103</v>
      </c>
      <c r="B65" s="6" t="s">
        <v>156</v>
      </c>
      <c r="C65" s="6" t="s">
        <v>167</v>
      </c>
      <c r="D65" s="6" t="s">
        <v>84</v>
      </c>
      <c r="E65" s="27" t="s">
        <v>168</v>
      </c>
    </row>
    <row r="66" spans="1:5" ht="12.75">
      <c r="A66" s="26" t="s">
        <v>72</v>
      </c>
      <c r="B66" s="6" t="s">
        <v>156</v>
      </c>
      <c r="C66" s="6" t="s">
        <v>163</v>
      </c>
      <c r="D66" s="6" t="s">
        <v>75</v>
      </c>
      <c r="E66" s="27" t="s">
        <v>169</v>
      </c>
    </row>
    <row r="67" spans="1:5" ht="12.75">
      <c r="A67" s="26" t="s">
        <v>36</v>
      </c>
      <c r="B67" s="6" t="s">
        <v>156</v>
      </c>
      <c r="C67" s="6" t="s">
        <v>170</v>
      </c>
      <c r="D67" s="6" t="s">
        <v>40</v>
      </c>
      <c r="E67" s="27" t="s">
        <v>171</v>
      </c>
    </row>
    <row r="68" spans="1:5" ht="12.75">
      <c r="A68" s="26" t="s">
        <v>54</v>
      </c>
      <c r="B68" s="6" t="s">
        <v>156</v>
      </c>
      <c r="C68" s="6" t="s">
        <v>172</v>
      </c>
      <c r="D68" s="6" t="s">
        <v>40</v>
      </c>
      <c r="E68" s="27" t="s">
        <v>173</v>
      </c>
    </row>
    <row r="69" spans="1:5" ht="12.75">
      <c r="A69" s="26" t="s">
        <v>77</v>
      </c>
      <c r="B69" s="6" t="s">
        <v>156</v>
      </c>
      <c r="C69" s="6" t="s">
        <v>163</v>
      </c>
      <c r="D69" s="6" t="s">
        <v>80</v>
      </c>
      <c r="E69" s="27" t="s">
        <v>174</v>
      </c>
    </row>
    <row r="70" spans="1:5" ht="12.75">
      <c r="A70" s="26" t="s">
        <v>25</v>
      </c>
      <c r="B70" s="6" t="s">
        <v>156</v>
      </c>
      <c r="C70" s="6" t="s">
        <v>164</v>
      </c>
      <c r="D70" s="6" t="s">
        <v>28</v>
      </c>
      <c r="E70" s="27" t="s">
        <v>175</v>
      </c>
    </row>
    <row r="71" spans="1:5" ht="12.75">
      <c r="A71" s="26" t="s">
        <v>132</v>
      </c>
      <c r="B71" s="6" t="s">
        <v>156</v>
      </c>
      <c r="C71" s="6" t="s">
        <v>160</v>
      </c>
      <c r="D71" s="6" t="s">
        <v>135</v>
      </c>
      <c r="E71" s="27" t="s">
        <v>176</v>
      </c>
    </row>
    <row r="72" spans="1:5" ht="12.75">
      <c r="A72" s="26" t="s">
        <v>106</v>
      </c>
      <c r="B72" s="6" t="s">
        <v>156</v>
      </c>
      <c r="C72" s="6" t="s">
        <v>167</v>
      </c>
      <c r="D72" s="6" t="s">
        <v>110</v>
      </c>
      <c r="E72" s="27" t="s">
        <v>177</v>
      </c>
    </row>
    <row r="74" spans="1:2" ht="14.25">
      <c r="A74" s="23" t="s">
        <v>178</v>
      </c>
      <c r="B74" s="24"/>
    </row>
    <row r="75" spans="1:5" ht="15">
      <c r="A75" s="25" t="s">
        <v>1</v>
      </c>
      <c r="B75" s="25" t="s">
        <v>157</v>
      </c>
      <c r="C75" s="25" t="s">
        <v>158</v>
      </c>
      <c r="D75" s="25" t="s">
        <v>7</v>
      </c>
      <c r="E75" s="25" t="s">
        <v>159</v>
      </c>
    </row>
    <row r="76" spans="1:5" ht="12.75">
      <c r="A76" s="26" t="s">
        <v>103</v>
      </c>
      <c r="B76" s="6" t="s">
        <v>179</v>
      </c>
      <c r="C76" s="6" t="s">
        <v>167</v>
      </c>
      <c r="D76" s="6" t="s">
        <v>118</v>
      </c>
      <c r="E76" s="27" t="s">
        <v>180</v>
      </c>
    </row>
    <row r="77" spans="1:5" ht="12.75">
      <c r="A77" s="26" t="s">
        <v>46</v>
      </c>
      <c r="B77" s="6" t="s">
        <v>181</v>
      </c>
      <c r="C77" s="6" t="s">
        <v>170</v>
      </c>
      <c r="D77" s="6" t="s">
        <v>51</v>
      </c>
      <c r="E77" s="27" t="s">
        <v>182</v>
      </c>
    </row>
    <row r="78" spans="1:5" ht="12.75">
      <c r="A78" s="26" t="s">
        <v>25</v>
      </c>
      <c r="B78" s="6" t="s">
        <v>181</v>
      </c>
      <c r="C78" s="6" t="s">
        <v>164</v>
      </c>
      <c r="D78" s="6" t="s">
        <v>28</v>
      </c>
      <c r="E78" s="27" t="s">
        <v>183</v>
      </c>
    </row>
    <row r="79" spans="1:5" ht="12.75">
      <c r="A79" s="26" t="s">
        <v>85</v>
      </c>
      <c r="B79" s="6" t="s">
        <v>179</v>
      </c>
      <c r="C79" s="6" t="s">
        <v>163</v>
      </c>
      <c r="D79" s="6" t="s">
        <v>88</v>
      </c>
      <c r="E79" s="27" t="s">
        <v>184</v>
      </c>
    </row>
    <row r="80" spans="1:5" ht="12.75">
      <c r="A80" s="26" t="s">
        <v>144</v>
      </c>
      <c r="B80" s="6" t="s">
        <v>181</v>
      </c>
      <c r="C80" s="6" t="s">
        <v>185</v>
      </c>
      <c r="D80" s="6" t="s">
        <v>147</v>
      </c>
      <c r="E80" s="27" t="s">
        <v>186</v>
      </c>
    </row>
    <row r="81" spans="1:5" ht="12.75">
      <c r="A81" s="26" t="s">
        <v>120</v>
      </c>
      <c r="B81" s="6" t="s">
        <v>187</v>
      </c>
      <c r="C81" s="6" t="s">
        <v>167</v>
      </c>
      <c r="D81" s="6" t="s">
        <v>123</v>
      </c>
      <c r="E81" s="27" t="s">
        <v>188</v>
      </c>
    </row>
  </sheetData>
  <sheetProtection selectLockedCells="1" selectUnlockedCells="1"/>
  <mergeCells count="18">
    <mergeCell ref="L3:L4"/>
    <mergeCell ref="A1:L2"/>
    <mergeCell ref="A22:K22"/>
    <mergeCell ref="A33:K33"/>
    <mergeCell ref="A40:K40"/>
    <mergeCell ref="A44:K44"/>
    <mergeCell ref="A3:A4"/>
    <mergeCell ref="B3:B4"/>
    <mergeCell ref="C3:C4"/>
    <mergeCell ref="D3:D4"/>
    <mergeCell ref="E3:E4"/>
    <mergeCell ref="J3:J4"/>
    <mergeCell ref="K3:K4"/>
    <mergeCell ref="F3:I3"/>
    <mergeCell ref="A5:K5"/>
    <mergeCell ref="A8:K8"/>
    <mergeCell ref="A14:K14"/>
    <mergeCell ref="A19:K19"/>
  </mergeCells>
  <printOptions/>
  <pageMargins left="0.75" right="0.75" top="0.979861111111111" bottom="0.979861111111111" header="0.509722222222222" footer="0.509722222222222"/>
  <pageSetup fitToWidth="0" fitToHeight="1" horizontalDpi="300" verticalDpi="3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7"/>
  <sheetViews>
    <sheetView zoomScalePageLayoutView="0" workbookViewId="0" topLeftCell="A1">
      <selection activeCell="A11" sqref="E11"/>
    </sheetView>
  </sheetViews>
  <sheetFormatPr defaultColWidth="8.875" defaultRowHeight="12.75"/>
  <cols>
    <col min="1" max="1" width="24.875" style="6" customWidth="1"/>
    <col min="2" max="2" width="26.625" style="6" customWidth="1"/>
    <col min="3" max="3" width="7.625" style="6" customWidth="1"/>
    <col min="4" max="4" width="6.625" style="6" customWidth="1"/>
    <col min="5" max="5" width="17.00390625" style="6" customWidth="1"/>
    <col min="6" max="9" width="5.625" style="6" customWidth="1"/>
    <col min="10" max="10" width="6.25390625" style="7" customWidth="1"/>
    <col min="11" max="11" width="8.625" style="6" customWidth="1"/>
    <col min="12" max="12" width="15.75390625" style="6" customWidth="1"/>
  </cols>
  <sheetData>
    <row r="1" spans="1:12" s="2" customFormat="1" ht="15" customHeight="1">
      <c r="A1" s="54" t="s">
        <v>298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48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2.75" customHeight="1">
      <c r="A3" s="49" t="s">
        <v>1</v>
      </c>
      <c r="B3" s="50" t="s">
        <v>2</v>
      </c>
      <c r="C3" s="50" t="s">
        <v>3</v>
      </c>
      <c r="D3" s="51" t="s">
        <v>4</v>
      </c>
      <c r="E3" s="51" t="s">
        <v>5</v>
      </c>
      <c r="F3" s="46" t="s">
        <v>6</v>
      </c>
      <c r="G3" s="46"/>
      <c r="H3" s="46"/>
      <c r="I3" s="46"/>
      <c r="J3" s="55" t="s">
        <v>7</v>
      </c>
      <c r="K3" s="51" t="s">
        <v>8</v>
      </c>
      <c r="L3" s="53" t="s">
        <v>9</v>
      </c>
    </row>
    <row r="4" spans="1:12" s="1" customFormat="1" ht="23.25" customHeight="1">
      <c r="A4" s="49"/>
      <c r="B4" s="50"/>
      <c r="C4" s="50"/>
      <c r="D4" s="50"/>
      <c r="E4" s="50"/>
      <c r="F4" s="3">
        <v>1</v>
      </c>
      <c r="G4" s="4">
        <v>2</v>
      </c>
      <c r="H4" s="4">
        <v>3</v>
      </c>
      <c r="I4" s="5" t="s">
        <v>10</v>
      </c>
      <c r="J4" s="55"/>
      <c r="K4" s="51"/>
      <c r="L4" s="53"/>
    </row>
    <row r="5" spans="1:11" ht="15">
      <c r="A5" s="47" t="s">
        <v>284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2.75">
      <c r="A6" s="8" t="s">
        <v>299</v>
      </c>
      <c r="B6" s="8" t="s">
        <v>300</v>
      </c>
      <c r="C6" s="8" t="s">
        <v>301</v>
      </c>
      <c r="D6" s="8" t="str">
        <f>"1,1195"</f>
        <v>1,1195</v>
      </c>
      <c r="E6" s="8" t="s">
        <v>302</v>
      </c>
      <c r="F6" s="8" t="s">
        <v>303</v>
      </c>
      <c r="G6" s="8" t="s">
        <v>304</v>
      </c>
      <c r="H6" s="13" t="s">
        <v>305</v>
      </c>
      <c r="I6" s="13"/>
      <c r="J6" s="16">
        <v>77.5</v>
      </c>
      <c r="K6" s="8" t="str">
        <f>"86,7613"</f>
        <v>86,7613</v>
      </c>
      <c r="L6" s="8"/>
    </row>
    <row r="8" spans="1:11" ht="15">
      <c r="A8" s="48" t="s">
        <v>289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ht="12.75">
      <c r="A9" s="9" t="s">
        <v>306</v>
      </c>
      <c r="B9" s="9" t="s">
        <v>307</v>
      </c>
      <c r="C9" s="9" t="s">
        <v>308</v>
      </c>
      <c r="D9" s="9" t="str">
        <f>"1,0010"</f>
        <v>1,0010</v>
      </c>
      <c r="E9" s="9" t="s">
        <v>32</v>
      </c>
      <c r="F9" s="9" t="s">
        <v>286</v>
      </c>
      <c r="G9" s="9" t="s">
        <v>221</v>
      </c>
      <c r="H9" s="10" t="s">
        <v>288</v>
      </c>
      <c r="I9" s="10"/>
      <c r="J9" s="17">
        <v>100</v>
      </c>
      <c r="K9" s="9" t="str">
        <f>"100,1000"</f>
        <v>100,1000</v>
      </c>
      <c r="L9" s="9"/>
    </row>
    <row r="10" spans="1:12" ht="12.75">
      <c r="A10" s="14" t="s">
        <v>309</v>
      </c>
      <c r="B10" s="14" t="s">
        <v>310</v>
      </c>
      <c r="C10" s="14" t="s">
        <v>311</v>
      </c>
      <c r="D10" s="14" t="str">
        <f>"1,0922"</f>
        <v>1,0922</v>
      </c>
      <c r="E10" s="14" t="s">
        <v>49</v>
      </c>
      <c r="F10" s="14" t="s">
        <v>220</v>
      </c>
      <c r="G10" s="14" t="s">
        <v>286</v>
      </c>
      <c r="H10" s="14" t="s">
        <v>287</v>
      </c>
      <c r="I10" s="15"/>
      <c r="J10" s="19">
        <v>97.5</v>
      </c>
      <c r="K10" s="14" t="str">
        <f>"106,4869"</f>
        <v>106,4869</v>
      </c>
      <c r="L10" s="14"/>
    </row>
    <row r="11" spans="1:12" ht="12.75">
      <c r="A11" s="11" t="s">
        <v>312</v>
      </c>
      <c r="B11" s="11" t="s">
        <v>313</v>
      </c>
      <c r="C11" s="11" t="s">
        <v>314</v>
      </c>
      <c r="D11" s="11" t="str">
        <f>"1,1506"</f>
        <v>1,1506</v>
      </c>
      <c r="E11" s="11" t="s">
        <v>49</v>
      </c>
      <c r="F11" s="11" t="s">
        <v>110</v>
      </c>
      <c r="G11" s="11" t="s">
        <v>315</v>
      </c>
      <c r="H11" s="12" t="s">
        <v>316</v>
      </c>
      <c r="I11" s="12"/>
      <c r="J11" s="18">
        <v>57.5</v>
      </c>
      <c r="K11" s="11" t="str">
        <f>"66,1569"</f>
        <v>66,1569</v>
      </c>
      <c r="L11" s="11"/>
    </row>
    <row r="13" spans="1:11" ht="15">
      <c r="A13" s="48" t="s">
        <v>192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2" ht="12.75">
      <c r="A14" s="9" t="s">
        <v>317</v>
      </c>
      <c r="B14" s="9" t="s">
        <v>318</v>
      </c>
      <c r="C14" s="9" t="s">
        <v>319</v>
      </c>
      <c r="D14" s="9" t="str">
        <f>"0,9233"</f>
        <v>0,9233</v>
      </c>
      <c r="E14" s="9" t="s">
        <v>49</v>
      </c>
      <c r="F14" s="9" t="s">
        <v>320</v>
      </c>
      <c r="G14" s="9" t="s">
        <v>321</v>
      </c>
      <c r="H14" s="10" t="s">
        <v>322</v>
      </c>
      <c r="I14" s="10"/>
      <c r="J14" s="17">
        <v>80</v>
      </c>
      <c r="K14" s="9" t="str">
        <f>"73,8600"</f>
        <v>73,8600</v>
      </c>
      <c r="L14" s="9"/>
    </row>
    <row r="15" spans="1:12" ht="12.75">
      <c r="A15" s="14" t="s">
        <v>323</v>
      </c>
      <c r="B15" s="14" t="s">
        <v>324</v>
      </c>
      <c r="C15" s="14" t="s">
        <v>325</v>
      </c>
      <c r="D15" s="14" t="str">
        <f>"0,9632"</f>
        <v>0,9632</v>
      </c>
      <c r="E15" s="14" t="s">
        <v>32</v>
      </c>
      <c r="F15" s="14" t="s">
        <v>16</v>
      </c>
      <c r="G15" s="15" t="s">
        <v>190</v>
      </c>
      <c r="H15" s="15" t="s">
        <v>190</v>
      </c>
      <c r="I15" s="15"/>
      <c r="J15" s="19" t="s">
        <v>16</v>
      </c>
      <c r="K15" s="14" t="s">
        <v>326</v>
      </c>
      <c r="L15" s="14"/>
    </row>
    <row r="16" spans="1:12" ht="12.75">
      <c r="A16" s="14" t="s">
        <v>327</v>
      </c>
      <c r="B16" s="14" t="s">
        <v>328</v>
      </c>
      <c r="C16" s="14" t="s">
        <v>329</v>
      </c>
      <c r="D16" s="14" t="str">
        <f>"0,9102"</f>
        <v>0,9102</v>
      </c>
      <c r="E16" s="14" t="s">
        <v>227</v>
      </c>
      <c r="F16" s="14" t="s">
        <v>286</v>
      </c>
      <c r="G16" s="15" t="s">
        <v>221</v>
      </c>
      <c r="H16" s="14" t="s">
        <v>288</v>
      </c>
      <c r="I16" s="15"/>
      <c r="J16" s="19">
        <v>102.5</v>
      </c>
      <c r="K16" s="14" t="str">
        <f>"93,2955"</f>
        <v>93,2955</v>
      </c>
      <c r="L16" s="14"/>
    </row>
    <row r="17" spans="1:12" ht="12.75">
      <c r="A17" s="14" t="s">
        <v>330</v>
      </c>
      <c r="B17" s="14" t="s">
        <v>331</v>
      </c>
      <c r="C17" s="14" t="s">
        <v>332</v>
      </c>
      <c r="D17" s="14" t="str">
        <f>"0,9018"</f>
        <v>0,9018</v>
      </c>
      <c r="E17" s="14" t="s">
        <v>49</v>
      </c>
      <c r="F17" s="14" t="s">
        <v>321</v>
      </c>
      <c r="G17" s="14" t="s">
        <v>99</v>
      </c>
      <c r="H17" s="14" t="s">
        <v>322</v>
      </c>
      <c r="I17" s="15"/>
      <c r="J17" s="19">
        <v>87.5</v>
      </c>
      <c r="K17" s="14" t="str">
        <f>"78,9031"</f>
        <v>78,9031</v>
      </c>
      <c r="L17" s="14"/>
    </row>
    <row r="18" spans="1:12" ht="12.75">
      <c r="A18" s="14" t="s">
        <v>317</v>
      </c>
      <c r="B18" s="14" t="s">
        <v>333</v>
      </c>
      <c r="C18" s="14" t="s">
        <v>319</v>
      </c>
      <c r="D18" s="14" t="str">
        <f>"0,9233"</f>
        <v>0,9233</v>
      </c>
      <c r="E18" s="14" t="s">
        <v>49</v>
      </c>
      <c r="F18" s="14" t="s">
        <v>334</v>
      </c>
      <c r="G18" s="14" t="s">
        <v>321</v>
      </c>
      <c r="H18" s="15" t="s">
        <v>322</v>
      </c>
      <c r="I18" s="15"/>
      <c r="J18" s="19">
        <v>80</v>
      </c>
      <c r="K18" s="14" t="str">
        <f>"73,8600"</f>
        <v>73,8600</v>
      </c>
      <c r="L18" s="14"/>
    </row>
    <row r="19" spans="1:12" ht="12.75">
      <c r="A19" s="14" t="s">
        <v>327</v>
      </c>
      <c r="B19" s="14" t="s">
        <v>335</v>
      </c>
      <c r="C19" s="14" t="s">
        <v>329</v>
      </c>
      <c r="D19" s="14" t="str">
        <f>"0,9102"</f>
        <v>0,9102</v>
      </c>
      <c r="E19" s="14" t="s">
        <v>227</v>
      </c>
      <c r="F19" s="14" t="s">
        <v>286</v>
      </c>
      <c r="G19" s="15" t="s">
        <v>221</v>
      </c>
      <c r="H19" s="14" t="s">
        <v>288</v>
      </c>
      <c r="I19" s="15"/>
      <c r="J19" s="19">
        <v>102.5</v>
      </c>
      <c r="K19" s="14" t="str">
        <f>"93,2955"</f>
        <v>93,2955</v>
      </c>
      <c r="L19" s="14"/>
    </row>
    <row r="20" spans="1:12" ht="12.75">
      <c r="A20" s="14" t="s">
        <v>323</v>
      </c>
      <c r="B20" s="14" t="s">
        <v>336</v>
      </c>
      <c r="C20" s="14" t="s">
        <v>325</v>
      </c>
      <c r="D20" s="14" t="str">
        <f>"1,0162"</f>
        <v>1,0162</v>
      </c>
      <c r="E20" s="14" t="s">
        <v>32</v>
      </c>
      <c r="F20" s="14" t="s">
        <v>16</v>
      </c>
      <c r="G20" s="15" t="s">
        <v>190</v>
      </c>
      <c r="H20" s="15" t="s">
        <v>190</v>
      </c>
      <c r="I20" s="15"/>
      <c r="J20" s="19" t="s">
        <v>16</v>
      </c>
      <c r="K20" s="14" t="s">
        <v>337</v>
      </c>
      <c r="L20" s="14"/>
    </row>
    <row r="21" spans="1:12" ht="12.75">
      <c r="A21" s="11" t="s">
        <v>338</v>
      </c>
      <c r="B21" s="11" t="s">
        <v>339</v>
      </c>
      <c r="C21" s="11" t="s">
        <v>340</v>
      </c>
      <c r="D21" s="11" t="str">
        <f>"1,5920"</f>
        <v>1,5920</v>
      </c>
      <c r="E21" s="11" t="s">
        <v>341</v>
      </c>
      <c r="F21" s="11" t="s">
        <v>342</v>
      </c>
      <c r="G21" s="11" t="s">
        <v>343</v>
      </c>
      <c r="H21" s="12" t="s">
        <v>316</v>
      </c>
      <c r="I21" s="12"/>
      <c r="J21" s="18">
        <v>55</v>
      </c>
      <c r="K21" s="11" t="str">
        <f>"87,5592"</f>
        <v>87,5592</v>
      </c>
      <c r="L21" s="11"/>
    </row>
    <row r="23" spans="1:11" ht="15">
      <c r="A23" s="48" t="s">
        <v>11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2" ht="12.75">
      <c r="A24" s="9" t="s">
        <v>344</v>
      </c>
      <c r="B24" s="9" t="s">
        <v>345</v>
      </c>
      <c r="C24" s="9" t="s">
        <v>346</v>
      </c>
      <c r="D24" s="9" t="str">
        <f>"0,8483"</f>
        <v>0,8483</v>
      </c>
      <c r="E24" s="9" t="s">
        <v>49</v>
      </c>
      <c r="F24" s="9" t="s">
        <v>123</v>
      </c>
      <c r="G24" s="9" t="s">
        <v>193</v>
      </c>
      <c r="H24" s="10" t="s">
        <v>233</v>
      </c>
      <c r="I24" s="10"/>
      <c r="J24" s="17">
        <v>135</v>
      </c>
      <c r="K24" s="9" t="str">
        <f>"114,5272"</f>
        <v>114,5272</v>
      </c>
      <c r="L24" s="9"/>
    </row>
    <row r="25" spans="1:12" ht="12.75">
      <c r="A25" s="14" t="s">
        <v>347</v>
      </c>
      <c r="B25" s="14" t="s">
        <v>348</v>
      </c>
      <c r="C25" s="14" t="s">
        <v>349</v>
      </c>
      <c r="D25" s="14" t="str">
        <f>"0,8475"</f>
        <v>0,8475</v>
      </c>
      <c r="E25" s="14" t="s">
        <v>49</v>
      </c>
      <c r="F25" s="14" t="s">
        <v>350</v>
      </c>
      <c r="G25" s="14" t="s">
        <v>351</v>
      </c>
      <c r="H25" s="15" t="s">
        <v>123</v>
      </c>
      <c r="I25" s="15"/>
      <c r="J25" s="19">
        <v>117.5</v>
      </c>
      <c r="K25" s="14" t="str">
        <f>"99,5871"</f>
        <v>99,5871</v>
      </c>
      <c r="L25" s="14"/>
    </row>
    <row r="26" spans="1:12" ht="12.75">
      <c r="A26" s="14" t="s">
        <v>352</v>
      </c>
      <c r="B26" s="14" t="s">
        <v>353</v>
      </c>
      <c r="C26" s="14" t="s">
        <v>354</v>
      </c>
      <c r="D26" s="14" t="str">
        <f>"0,8399"</f>
        <v>0,8399</v>
      </c>
      <c r="E26" s="14" t="s">
        <v>32</v>
      </c>
      <c r="F26" s="14" t="s">
        <v>221</v>
      </c>
      <c r="G26" s="14" t="s">
        <v>190</v>
      </c>
      <c r="H26" s="15" t="s">
        <v>350</v>
      </c>
      <c r="I26" s="15"/>
      <c r="J26" s="19">
        <v>110</v>
      </c>
      <c r="K26" s="14" t="str">
        <f>"92,3890"</f>
        <v>92,3890</v>
      </c>
      <c r="L26" s="14"/>
    </row>
    <row r="27" spans="1:12" ht="12.75">
      <c r="A27" s="14" t="s">
        <v>355</v>
      </c>
      <c r="B27" s="14" t="s">
        <v>356</v>
      </c>
      <c r="C27" s="14" t="s">
        <v>201</v>
      </c>
      <c r="D27" s="14" t="str">
        <f>"0,8368"</f>
        <v>0,8368</v>
      </c>
      <c r="E27" s="14" t="s">
        <v>357</v>
      </c>
      <c r="F27" s="14" t="s">
        <v>288</v>
      </c>
      <c r="G27" s="15" t="s">
        <v>190</v>
      </c>
      <c r="H27" s="15" t="s">
        <v>190</v>
      </c>
      <c r="I27" s="15"/>
      <c r="J27" s="19">
        <v>102.5</v>
      </c>
      <c r="K27" s="14" t="str">
        <f>"85,7771"</f>
        <v>85,7771</v>
      </c>
      <c r="L27" s="14"/>
    </row>
    <row r="28" spans="1:12" ht="12.75">
      <c r="A28" s="14" t="s">
        <v>199</v>
      </c>
      <c r="B28" s="14" t="s">
        <v>200</v>
      </c>
      <c r="C28" s="14" t="s">
        <v>201</v>
      </c>
      <c r="D28" s="14" t="str">
        <f>"0,8628"</f>
        <v>0,8628</v>
      </c>
      <c r="E28" s="14" t="s">
        <v>21</v>
      </c>
      <c r="F28" s="14" t="s">
        <v>321</v>
      </c>
      <c r="G28" s="14" t="s">
        <v>220</v>
      </c>
      <c r="H28" s="15" t="s">
        <v>286</v>
      </c>
      <c r="I28" s="15"/>
      <c r="J28" s="19">
        <v>90</v>
      </c>
      <c r="K28" s="14" t="str">
        <f>"77,6513"</f>
        <v>77,6513</v>
      </c>
      <c r="L28" s="14"/>
    </row>
    <row r="29" spans="1:12" ht="12.75">
      <c r="A29" s="14" t="s">
        <v>358</v>
      </c>
      <c r="B29" s="14" t="s">
        <v>359</v>
      </c>
      <c r="C29" s="14" t="s">
        <v>14</v>
      </c>
      <c r="D29" s="14" t="str">
        <f>"0,9998"</f>
        <v>0,9998</v>
      </c>
      <c r="E29" s="14" t="s">
        <v>49</v>
      </c>
      <c r="F29" s="14" t="s">
        <v>16</v>
      </c>
      <c r="G29" s="14" t="s">
        <v>190</v>
      </c>
      <c r="H29" s="15" t="s">
        <v>191</v>
      </c>
      <c r="I29" s="15"/>
      <c r="J29" s="19">
        <v>110</v>
      </c>
      <c r="K29" s="14" t="str">
        <f>"109,9812"</f>
        <v>109,9812</v>
      </c>
      <c r="L29" s="14"/>
    </row>
    <row r="30" spans="1:12" ht="12.75">
      <c r="A30" s="11" t="s">
        <v>205</v>
      </c>
      <c r="B30" s="11" t="s">
        <v>206</v>
      </c>
      <c r="C30" s="11" t="s">
        <v>207</v>
      </c>
      <c r="D30" s="11" t="str">
        <f>"1,1529"</f>
        <v>1,1529</v>
      </c>
      <c r="E30" s="11" t="s">
        <v>32</v>
      </c>
      <c r="F30" s="11" t="s">
        <v>316</v>
      </c>
      <c r="G30" s="11" t="s">
        <v>342</v>
      </c>
      <c r="H30" s="11" t="s">
        <v>360</v>
      </c>
      <c r="I30" s="12" t="s">
        <v>320</v>
      </c>
      <c r="J30" s="18">
        <v>72.5</v>
      </c>
      <c r="K30" s="11" t="str">
        <f>"83,5830"</f>
        <v>83,5830</v>
      </c>
      <c r="L30" s="11"/>
    </row>
    <row r="32" spans="1:11" ht="15">
      <c r="A32" s="48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2" ht="12.75">
      <c r="A33" s="9" t="s">
        <v>361</v>
      </c>
      <c r="B33" s="9" t="s">
        <v>362</v>
      </c>
      <c r="C33" s="9" t="s">
        <v>363</v>
      </c>
      <c r="D33" s="9" t="str">
        <f>"0,8062"</f>
        <v>0,8062</v>
      </c>
      <c r="E33" s="9" t="s">
        <v>49</v>
      </c>
      <c r="F33" s="9" t="s">
        <v>221</v>
      </c>
      <c r="G33" s="9" t="s">
        <v>16</v>
      </c>
      <c r="H33" s="10" t="s">
        <v>190</v>
      </c>
      <c r="I33" s="10"/>
      <c r="J33" s="17">
        <v>105</v>
      </c>
      <c r="K33" s="9" t="str">
        <f>"84,6562"</f>
        <v>84,6562</v>
      </c>
      <c r="L33" s="9"/>
    </row>
    <row r="34" spans="1:12" ht="12.75">
      <c r="A34" s="11" t="s">
        <v>208</v>
      </c>
      <c r="B34" s="11" t="s">
        <v>213</v>
      </c>
      <c r="C34" s="11" t="s">
        <v>209</v>
      </c>
      <c r="D34" s="11" t="str">
        <f>"0,8962"</f>
        <v>0,8962</v>
      </c>
      <c r="E34" s="11" t="s">
        <v>32</v>
      </c>
      <c r="F34" s="11" t="s">
        <v>364</v>
      </c>
      <c r="G34" s="12" t="s">
        <v>232</v>
      </c>
      <c r="H34" s="12" t="s">
        <v>232</v>
      </c>
      <c r="I34" s="12"/>
      <c r="J34" s="18" t="s">
        <v>365</v>
      </c>
      <c r="K34" s="11" t="s">
        <v>366</v>
      </c>
      <c r="L34" s="11"/>
    </row>
    <row r="36" spans="1:11" ht="15">
      <c r="A36" s="48" t="s">
        <v>284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2" ht="12.75">
      <c r="A37" s="8" t="s">
        <v>367</v>
      </c>
      <c r="B37" s="8" t="s">
        <v>368</v>
      </c>
      <c r="C37" s="8" t="s">
        <v>369</v>
      </c>
      <c r="D37" s="8" t="str">
        <f>"1,0192"</f>
        <v>1,0192</v>
      </c>
      <c r="E37" s="8" t="s">
        <v>49</v>
      </c>
      <c r="F37" s="8" t="s">
        <v>370</v>
      </c>
      <c r="G37" s="8" t="s">
        <v>371</v>
      </c>
      <c r="H37" s="13" t="s">
        <v>372</v>
      </c>
      <c r="I37" s="13"/>
      <c r="J37" s="16">
        <v>40</v>
      </c>
      <c r="K37" s="8" t="str">
        <f>"40,7660"</f>
        <v>40,7660</v>
      </c>
      <c r="L37" s="8"/>
    </row>
    <row r="39" spans="1:11" ht="15">
      <c r="A39" s="48" t="s">
        <v>189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2" ht="12.75">
      <c r="A40" s="9" t="s">
        <v>373</v>
      </c>
      <c r="B40" s="9" t="s">
        <v>374</v>
      </c>
      <c r="C40" s="9" t="s">
        <v>375</v>
      </c>
      <c r="D40" s="9" t="str">
        <f>"0,9061"</f>
        <v>0,9061</v>
      </c>
      <c r="E40" s="9" t="s">
        <v>21</v>
      </c>
      <c r="F40" s="9" t="s">
        <v>364</v>
      </c>
      <c r="G40" s="9" t="s">
        <v>232</v>
      </c>
      <c r="H40" s="10" t="s">
        <v>376</v>
      </c>
      <c r="I40" s="10"/>
      <c r="J40" s="17">
        <v>130</v>
      </c>
      <c r="K40" s="9" t="str">
        <f>"117,7865"</f>
        <v>117,7865</v>
      </c>
      <c r="L40" s="9"/>
    </row>
    <row r="41" spans="1:12" ht="12.75">
      <c r="A41" s="11" t="s">
        <v>377</v>
      </c>
      <c r="B41" s="11" t="s">
        <v>378</v>
      </c>
      <c r="C41" s="11" t="s">
        <v>379</v>
      </c>
      <c r="D41" s="11" t="str">
        <f>"1,6295"</f>
        <v>1,6295</v>
      </c>
      <c r="E41" s="11" t="s">
        <v>21</v>
      </c>
      <c r="F41" s="11" t="s">
        <v>303</v>
      </c>
      <c r="G41" s="11" t="s">
        <v>320</v>
      </c>
      <c r="H41" s="12" t="s">
        <v>304</v>
      </c>
      <c r="I41" s="12"/>
      <c r="J41" s="18">
        <v>75</v>
      </c>
      <c r="K41" s="11" t="str">
        <f>"122,2126"</f>
        <v>122,2126</v>
      </c>
      <c r="L41" s="11"/>
    </row>
    <row r="43" spans="1:11" ht="15">
      <c r="A43" s="48" t="s">
        <v>192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2" ht="12.75">
      <c r="A44" s="9" t="s">
        <v>380</v>
      </c>
      <c r="B44" s="9" t="s">
        <v>381</v>
      </c>
      <c r="C44" s="9" t="s">
        <v>382</v>
      </c>
      <c r="D44" s="9" t="str">
        <f>"0,7965"</f>
        <v>0,7965</v>
      </c>
      <c r="E44" s="9" t="s">
        <v>49</v>
      </c>
      <c r="F44" s="9" t="s">
        <v>383</v>
      </c>
      <c r="G44" s="9" t="s">
        <v>110</v>
      </c>
      <c r="H44" s="10" t="s">
        <v>316</v>
      </c>
      <c r="I44" s="10"/>
      <c r="J44" s="17">
        <v>55</v>
      </c>
      <c r="K44" s="9" t="str">
        <f>"43,8102"</f>
        <v>43,8102</v>
      </c>
      <c r="L44" s="9"/>
    </row>
    <row r="45" spans="1:12" ht="12.75">
      <c r="A45" s="14" t="s">
        <v>384</v>
      </c>
      <c r="B45" s="14" t="s">
        <v>385</v>
      </c>
      <c r="C45" s="14" t="s">
        <v>386</v>
      </c>
      <c r="D45" s="14" t="str">
        <f>"0,8073"</f>
        <v>0,8073</v>
      </c>
      <c r="E45" s="14" t="s">
        <v>49</v>
      </c>
      <c r="F45" s="14" t="s">
        <v>220</v>
      </c>
      <c r="G45" s="14" t="s">
        <v>286</v>
      </c>
      <c r="H45" s="15" t="s">
        <v>287</v>
      </c>
      <c r="I45" s="15"/>
      <c r="J45" s="19">
        <v>95</v>
      </c>
      <c r="K45" s="14" t="str">
        <f>"76,6888"</f>
        <v>76,6888</v>
      </c>
      <c r="L45" s="14"/>
    </row>
    <row r="46" spans="1:12" ht="12.75">
      <c r="A46" s="14" t="s">
        <v>216</v>
      </c>
      <c r="B46" s="14" t="s">
        <v>217</v>
      </c>
      <c r="C46" s="14" t="s">
        <v>218</v>
      </c>
      <c r="D46" s="14" t="str">
        <f>"0,7522"</f>
        <v>0,7522</v>
      </c>
      <c r="E46" s="14" t="s">
        <v>21</v>
      </c>
      <c r="F46" s="14" t="s">
        <v>321</v>
      </c>
      <c r="G46" s="14" t="s">
        <v>99</v>
      </c>
      <c r="H46" s="15" t="s">
        <v>220</v>
      </c>
      <c r="I46" s="15"/>
      <c r="J46" s="19">
        <v>85</v>
      </c>
      <c r="K46" s="14" t="str">
        <f>"63,9370"</f>
        <v>63,9370</v>
      </c>
      <c r="L46" s="14"/>
    </row>
    <row r="47" spans="1:12" ht="12.75">
      <c r="A47" s="14" t="s">
        <v>387</v>
      </c>
      <c r="B47" s="14" t="s">
        <v>388</v>
      </c>
      <c r="C47" s="14" t="s">
        <v>389</v>
      </c>
      <c r="D47" s="14" t="str">
        <f>"0,7531"</f>
        <v>0,7531</v>
      </c>
      <c r="E47" s="14" t="s">
        <v>21</v>
      </c>
      <c r="F47" s="15" t="s">
        <v>364</v>
      </c>
      <c r="G47" s="14" t="s">
        <v>364</v>
      </c>
      <c r="H47" s="15" t="s">
        <v>232</v>
      </c>
      <c r="I47" s="15"/>
      <c r="J47" s="19">
        <v>120</v>
      </c>
      <c r="K47" s="14" t="str">
        <f>"90,3780"</f>
        <v>90,3780</v>
      </c>
      <c r="L47" s="14"/>
    </row>
    <row r="48" spans="1:12" ht="12.75">
      <c r="A48" s="14" t="s">
        <v>390</v>
      </c>
      <c r="B48" s="14" t="s">
        <v>391</v>
      </c>
      <c r="C48" s="14" t="s">
        <v>392</v>
      </c>
      <c r="D48" s="14" t="str">
        <f>"0,7570"</f>
        <v>0,7570</v>
      </c>
      <c r="E48" s="14" t="s">
        <v>302</v>
      </c>
      <c r="F48" s="15" t="s">
        <v>190</v>
      </c>
      <c r="G48" s="15" t="s">
        <v>191</v>
      </c>
      <c r="H48" s="15" t="s">
        <v>191</v>
      </c>
      <c r="I48" s="15"/>
      <c r="J48" s="19">
        <v>0</v>
      </c>
      <c r="K48" s="14" t="str">
        <f>"0,0000"</f>
        <v>0,0000</v>
      </c>
      <c r="L48" s="14"/>
    </row>
    <row r="49" spans="1:12" ht="12.75">
      <c r="A49" s="11" t="s">
        <v>393</v>
      </c>
      <c r="B49" s="11" t="s">
        <v>394</v>
      </c>
      <c r="C49" s="11" t="s">
        <v>395</v>
      </c>
      <c r="D49" s="11" t="str">
        <f>"0,9470"</f>
        <v>0,9470</v>
      </c>
      <c r="E49" s="11" t="s">
        <v>21</v>
      </c>
      <c r="F49" s="12" t="s">
        <v>221</v>
      </c>
      <c r="G49" s="11" t="s">
        <v>221</v>
      </c>
      <c r="H49" s="11" t="s">
        <v>16</v>
      </c>
      <c r="I49" s="12"/>
      <c r="J49" s="18">
        <v>105</v>
      </c>
      <c r="K49" s="11" t="str">
        <f>"99,4308"</f>
        <v>99,4308</v>
      </c>
      <c r="L49" s="11"/>
    </row>
    <row r="51" spans="1:11" ht="15">
      <c r="A51" s="48" t="s">
        <v>11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2" ht="12.75">
      <c r="A52" s="9" t="s">
        <v>396</v>
      </c>
      <c r="B52" s="9" t="s">
        <v>397</v>
      </c>
      <c r="C52" s="9" t="s">
        <v>398</v>
      </c>
      <c r="D52" s="9" t="str">
        <f>"0,6899"</f>
        <v>0,6899</v>
      </c>
      <c r="E52" s="9" t="s">
        <v>302</v>
      </c>
      <c r="F52" s="9" t="s">
        <v>193</v>
      </c>
      <c r="G52" s="9" t="s">
        <v>194</v>
      </c>
      <c r="H52" s="10" t="s">
        <v>233</v>
      </c>
      <c r="I52" s="10"/>
      <c r="J52" s="17">
        <v>140</v>
      </c>
      <c r="K52" s="9" t="str">
        <f>"96,5860"</f>
        <v>96,5860</v>
      </c>
      <c r="L52" s="9"/>
    </row>
    <row r="53" spans="1:12" ht="12.75">
      <c r="A53" s="14" t="s">
        <v>399</v>
      </c>
      <c r="B53" s="14" t="s">
        <v>400</v>
      </c>
      <c r="C53" s="14" t="s">
        <v>401</v>
      </c>
      <c r="D53" s="14" t="str">
        <f>"0,7140"</f>
        <v>0,7140</v>
      </c>
      <c r="E53" s="14" t="s">
        <v>49</v>
      </c>
      <c r="F53" s="14" t="s">
        <v>190</v>
      </c>
      <c r="G53" s="15" t="s">
        <v>351</v>
      </c>
      <c r="H53" s="15" t="s">
        <v>351</v>
      </c>
      <c r="I53" s="15"/>
      <c r="J53" s="19" t="s">
        <v>163</v>
      </c>
      <c r="K53" s="14" t="s">
        <v>402</v>
      </c>
      <c r="L53" s="14"/>
    </row>
    <row r="54" spans="1:12" ht="12.75">
      <c r="A54" s="14" t="s">
        <v>403</v>
      </c>
      <c r="B54" s="14" t="s">
        <v>404</v>
      </c>
      <c r="C54" s="14" t="s">
        <v>405</v>
      </c>
      <c r="D54" s="14" t="str">
        <f>"0,6906"</f>
        <v>0,6906</v>
      </c>
      <c r="E54" s="14" t="s">
        <v>39</v>
      </c>
      <c r="F54" s="15" t="s">
        <v>27</v>
      </c>
      <c r="G54" s="14" t="s">
        <v>27</v>
      </c>
      <c r="H54" s="15" t="s">
        <v>406</v>
      </c>
      <c r="I54" s="15"/>
      <c r="J54" s="19">
        <v>185</v>
      </c>
      <c r="K54" s="14" t="str">
        <f>"127,7610"</f>
        <v>127,7610</v>
      </c>
      <c r="L54" s="14"/>
    </row>
    <row r="55" spans="1:12" ht="12.75">
      <c r="A55" s="14" t="s">
        <v>222</v>
      </c>
      <c r="B55" s="14" t="s">
        <v>223</v>
      </c>
      <c r="C55" s="14" t="s">
        <v>224</v>
      </c>
      <c r="D55" s="14" t="str">
        <f>"0,6885"</f>
        <v>0,6885</v>
      </c>
      <c r="E55" s="14" t="s">
        <v>225</v>
      </c>
      <c r="F55" s="14" t="s">
        <v>195</v>
      </c>
      <c r="G55" s="14" t="s">
        <v>196</v>
      </c>
      <c r="H55" s="15"/>
      <c r="I55" s="15"/>
      <c r="J55" s="19">
        <v>170</v>
      </c>
      <c r="K55" s="14" t="str">
        <f>"117,0535"</f>
        <v>117,0535</v>
      </c>
      <c r="L55" s="14"/>
    </row>
    <row r="56" spans="1:12" ht="12.75">
      <c r="A56" s="14" t="s">
        <v>407</v>
      </c>
      <c r="B56" s="14" t="s">
        <v>408</v>
      </c>
      <c r="C56" s="14" t="s">
        <v>409</v>
      </c>
      <c r="D56" s="14" t="str">
        <f>"0,6934"</f>
        <v>0,6934</v>
      </c>
      <c r="E56" s="14" t="s">
        <v>49</v>
      </c>
      <c r="F56" s="14" t="s">
        <v>195</v>
      </c>
      <c r="G56" s="15" t="s">
        <v>203</v>
      </c>
      <c r="H56" s="15" t="s">
        <v>203</v>
      </c>
      <c r="I56" s="15"/>
      <c r="J56" s="19" t="s">
        <v>197</v>
      </c>
      <c r="K56" s="14" t="s">
        <v>410</v>
      </c>
      <c r="L56" s="14"/>
    </row>
    <row r="57" spans="1:12" ht="12.75">
      <c r="A57" s="14" t="s">
        <v>411</v>
      </c>
      <c r="B57" s="14" t="s">
        <v>412</v>
      </c>
      <c r="C57" s="14" t="s">
        <v>224</v>
      </c>
      <c r="D57" s="14" t="str">
        <f>"0,6885"</f>
        <v>0,6885</v>
      </c>
      <c r="E57" s="14" t="s">
        <v>21</v>
      </c>
      <c r="F57" s="14" t="s">
        <v>194</v>
      </c>
      <c r="G57" s="14" t="s">
        <v>147</v>
      </c>
      <c r="H57" s="15"/>
      <c r="I57" s="15"/>
      <c r="J57" s="19">
        <v>160</v>
      </c>
      <c r="K57" s="14" t="str">
        <f>"110,1680"</f>
        <v>110,1680</v>
      </c>
      <c r="L57" s="14"/>
    </row>
    <row r="58" spans="1:12" ht="12.75">
      <c r="A58" s="14" t="s">
        <v>413</v>
      </c>
      <c r="B58" s="14" t="s">
        <v>414</v>
      </c>
      <c r="C58" s="14" t="s">
        <v>224</v>
      </c>
      <c r="D58" s="14" t="str">
        <f>"0,6954"</f>
        <v>0,6954</v>
      </c>
      <c r="E58" s="14" t="s">
        <v>49</v>
      </c>
      <c r="F58" s="14" t="s">
        <v>194</v>
      </c>
      <c r="G58" s="15" t="s">
        <v>202</v>
      </c>
      <c r="H58" s="15" t="s">
        <v>202</v>
      </c>
      <c r="I58" s="15"/>
      <c r="J58" s="19">
        <v>140</v>
      </c>
      <c r="K58" s="14" t="str">
        <f>"97,3610"</f>
        <v>97,3610</v>
      </c>
      <c r="L58" s="14"/>
    </row>
    <row r="59" spans="1:12" ht="12.75">
      <c r="A59" s="14" t="s">
        <v>415</v>
      </c>
      <c r="B59" s="14" t="s">
        <v>416</v>
      </c>
      <c r="C59" s="14" t="s">
        <v>409</v>
      </c>
      <c r="D59" s="14" t="str">
        <f>"0,7315"</f>
        <v>0,7315</v>
      </c>
      <c r="E59" s="14" t="s">
        <v>21</v>
      </c>
      <c r="F59" s="14" t="s">
        <v>232</v>
      </c>
      <c r="G59" s="15" t="s">
        <v>417</v>
      </c>
      <c r="H59" s="15" t="s">
        <v>194</v>
      </c>
      <c r="I59" s="15"/>
      <c r="J59" s="19" t="s">
        <v>251</v>
      </c>
      <c r="K59" s="14" t="s">
        <v>418</v>
      </c>
      <c r="L59" s="14"/>
    </row>
    <row r="60" spans="1:12" ht="12.75">
      <c r="A60" s="14" t="s">
        <v>419</v>
      </c>
      <c r="B60" s="14" t="s">
        <v>420</v>
      </c>
      <c r="C60" s="14" t="s">
        <v>354</v>
      </c>
      <c r="D60" s="14" t="str">
        <f>"0,9452"</f>
        <v>0,9452</v>
      </c>
      <c r="E60" s="14" t="s">
        <v>421</v>
      </c>
      <c r="F60" s="14" t="s">
        <v>322</v>
      </c>
      <c r="G60" s="14" t="s">
        <v>220</v>
      </c>
      <c r="H60" s="15" t="s">
        <v>286</v>
      </c>
      <c r="I60" s="15"/>
      <c r="J60" s="19">
        <v>90</v>
      </c>
      <c r="K60" s="14" t="str">
        <f>"85,0683"</f>
        <v>85,0683</v>
      </c>
      <c r="L60" s="14"/>
    </row>
    <row r="61" spans="1:12" ht="12.75">
      <c r="A61" s="14" t="s">
        <v>229</v>
      </c>
      <c r="B61" s="14" t="s">
        <v>230</v>
      </c>
      <c r="C61" s="14" t="s">
        <v>231</v>
      </c>
      <c r="D61" s="14" t="str">
        <f>"1,1434"</f>
        <v>1,1434</v>
      </c>
      <c r="E61" s="14" t="s">
        <v>15</v>
      </c>
      <c r="F61" s="14" t="s">
        <v>422</v>
      </c>
      <c r="G61" s="15" t="s">
        <v>190</v>
      </c>
      <c r="H61" s="15" t="s">
        <v>190</v>
      </c>
      <c r="I61" s="15"/>
      <c r="J61" s="19" t="s">
        <v>422</v>
      </c>
      <c r="K61" s="14" t="s">
        <v>423</v>
      </c>
      <c r="L61" s="14"/>
    </row>
    <row r="62" spans="1:12" ht="12.75">
      <c r="A62" s="11" t="s">
        <v>424</v>
      </c>
      <c r="B62" s="11" t="s">
        <v>425</v>
      </c>
      <c r="C62" s="11" t="s">
        <v>426</v>
      </c>
      <c r="D62" s="11" t="str">
        <f>"1,2433"</f>
        <v>1,2433</v>
      </c>
      <c r="E62" s="11" t="s">
        <v>302</v>
      </c>
      <c r="F62" s="11" t="s">
        <v>320</v>
      </c>
      <c r="G62" s="11" t="s">
        <v>321</v>
      </c>
      <c r="H62" s="12" t="s">
        <v>220</v>
      </c>
      <c r="I62" s="12"/>
      <c r="J62" s="18">
        <v>80</v>
      </c>
      <c r="K62" s="11" t="str">
        <f>"99,4653"</f>
        <v>99,4653</v>
      </c>
      <c r="L62" s="11"/>
    </row>
    <row r="64" spans="1:11" ht="15">
      <c r="A64" s="48" t="s">
        <v>17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2" ht="12.75">
      <c r="A65" s="9" t="s">
        <v>427</v>
      </c>
      <c r="B65" s="9" t="s">
        <v>428</v>
      </c>
      <c r="C65" s="9" t="s">
        <v>429</v>
      </c>
      <c r="D65" s="9" t="str">
        <f>"0,6557"</f>
        <v>0,6557</v>
      </c>
      <c r="E65" s="9" t="s">
        <v>49</v>
      </c>
      <c r="F65" s="9" t="s">
        <v>287</v>
      </c>
      <c r="G65" s="9" t="s">
        <v>288</v>
      </c>
      <c r="H65" s="9" t="s">
        <v>422</v>
      </c>
      <c r="I65" s="10"/>
      <c r="J65" s="17">
        <v>107.5</v>
      </c>
      <c r="K65" s="9" t="str">
        <f>"70,4824"</f>
        <v>70,4824</v>
      </c>
      <c r="L65" s="9"/>
    </row>
    <row r="66" spans="1:12" ht="12.75">
      <c r="A66" s="14" t="s">
        <v>430</v>
      </c>
      <c r="B66" s="14" t="s">
        <v>431</v>
      </c>
      <c r="C66" s="14" t="s">
        <v>432</v>
      </c>
      <c r="D66" s="14" t="str">
        <f>"0,6492"</f>
        <v>0,6492</v>
      </c>
      <c r="E66" s="14" t="s">
        <v>49</v>
      </c>
      <c r="F66" s="14" t="s">
        <v>196</v>
      </c>
      <c r="G66" s="14" t="s">
        <v>140</v>
      </c>
      <c r="H66" s="14" t="s">
        <v>433</v>
      </c>
      <c r="I66" s="15"/>
      <c r="J66" s="19">
        <v>185</v>
      </c>
      <c r="K66" s="14" t="str">
        <f>"120,1112"</f>
        <v>120,1112</v>
      </c>
      <c r="L66" s="14"/>
    </row>
    <row r="67" spans="1:12" ht="12.75">
      <c r="A67" s="14" t="s">
        <v>434</v>
      </c>
      <c r="B67" s="14" t="s">
        <v>435</v>
      </c>
      <c r="C67" s="14" t="s">
        <v>436</v>
      </c>
      <c r="D67" s="14" t="str">
        <f>"0,6508"</f>
        <v>0,6508</v>
      </c>
      <c r="E67" s="14" t="s">
        <v>219</v>
      </c>
      <c r="F67" s="14" t="s">
        <v>196</v>
      </c>
      <c r="G67" s="14" t="s">
        <v>215</v>
      </c>
      <c r="H67" s="15" t="s">
        <v>437</v>
      </c>
      <c r="I67" s="15"/>
      <c r="J67" s="19">
        <v>175</v>
      </c>
      <c r="K67" s="14" t="str">
        <f>"113,8900"</f>
        <v>113,8900</v>
      </c>
      <c r="L67" s="14"/>
    </row>
    <row r="68" spans="1:12" ht="12.75">
      <c r="A68" s="14" t="s">
        <v>438</v>
      </c>
      <c r="B68" s="14" t="s">
        <v>439</v>
      </c>
      <c r="C68" s="14" t="s">
        <v>440</v>
      </c>
      <c r="D68" s="14" t="str">
        <f>"0,6561"</f>
        <v>0,6561</v>
      </c>
      <c r="E68" s="14" t="s">
        <v>49</v>
      </c>
      <c r="F68" s="14" t="s">
        <v>195</v>
      </c>
      <c r="G68" s="15" t="s">
        <v>196</v>
      </c>
      <c r="H68" s="15" t="s">
        <v>196</v>
      </c>
      <c r="I68" s="15"/>
      <c r="J68" s="19" t="s">
        <v>197</v>
      </c>
      <c r="K68" s="14" t="s">
        <v>441</v>
      </c>
      <c r="L68" s="14"/>
    </row>
    <row r="69" spans="1:12" ht="12.75">
      <c r="A69" s="14" t="s">
        <v>442</v>
      </c>
      <c r="B69" s="14" t="s">
        <v>443</v>
      </c>
      <c r="C69" s="14" t="s">
        <v>444</v>
      </c>
      <c r="D69" s="14" t="str">
        <f>"0,6600"</f>
        <v>0,6600</v>
      </c>
      <c r="E69" s="14" t="s">
        <v>445</v>
      </c>
      <c r="F69" s="14" t="s">
        <v>194</v>
      </c>
      <c r="G69" s="15" t="s">
        <v>233</v>
      </c>
      <c r="H69" s="15" t="s">
        <v>233</v>
      </c>
      <c r="I69" s="15"/>
      <c r="J69" s="19" t="s">
        <v>160</v>
      </c>
      <c r="K69" s="14" t="s">
        <v>446</v>
      </c>
      <c r="L69" s="14"/>
    </row>
    <row r="70" spans="1:12" ht="12.75">
      <c r="A70" s="14" t="s">
        <v>447</v>
      </c>
      <c r="B70" s="14" t="s">
        <v>448</v>
      </c>
      <c r="C70" s="14" t="s">
        <v>449</v>
      </c>
      <c r="D70" s="14" t="str">
        <f>"0,6755"</f>
        <v>0,6755</v>
      </c>
      <c r="E70" s="14" t="s">
        <v>49</v>
      </c>
      <c r="F70" s="14" t="s">
        <v>191</v>
      </c>
      <c r="G70" s="15" t="s">
        <v>123</v>
      </c>
      <c r="H70" s="15" t="s">
        <v>194</v>
      </c>
      <c r="I70" s="15"/>
      <c r="J70" s="19" t="s">
        <v>450</v>
      </c>
      <c r="K70" s="14" t="s">
        <v>451</v>
      </c>
      <c r="L70" s="14"/>
    </row>
    <row r="71" spans="1:12" ht="12.75">
      <c r="A71" s="14" t="s">
        <v>452</v>
      </c>
      <c r="B71" s="14" t="s">
        <v>453</v>
      </c>
      <c r="C71" s="14" t="s">
        <v>432</v>
      </c>
      <c r="D71" s="14" t="str">
        <f>"0,6492"</f>
        <v>0,6492</v>
      </c>
      <c r="E71" s="14" t="s">
        <v>225</v>
      </c>
      <c r="F71" s="14" t="s">
        <v>28</v>
      </c>
      <c r="G71" s="14" t="s">
        <v>44</v>
      </c>
      <c r="H71" s="15" t="s">
        <v>226</v>
      </c>
      <c r="I71" s="15"/>
      <c r="J71" s="19">
        <v>210</v>
      </c>
      <c r="K71" s="14" t="str">
        <f>"136,3425"</f>
        <v>136,3425</v>
      </c>
      <c r="L71" s="14"/>
    </row>
    <row r="72" spans="1:12" ht="12.75">
      <c r="A72" s="14" t="s">
        <v>454</v>
      </c>
      <c r="B72" s="14" t="s">
        <v>455</v>
      </c>
      <c r="C72" s="14" t="s">
        <v>234</v>
      </c>
      <c r="D72" s="14" t="str">
        <f>"0,6487"</f>
        <v>0,6487</v>
      </c>
      <c r="E72" s="14" t="s">
        <v>49</v>
      </c>
      <c r="F72" s="14" t="s">
        <v>456</v>
      </c>
      <c r="G72" s="14" t="s">
        <v>194</v>
      </c>
      <c r="H72" s="14" t="s">
        <v>293</v>
      </c>
      <c r="I72" s="15"/>
      <c r="J72" s="19">
        <v>147.5</v>
      </c>
      <c r="K72" s="14" t="str">
        <f>"95,6832"</f>
        <v>95,6832</v>
      </c>
      <c r="L72" s="14"/>
    </row>
    <row r="73" spans="1:12" ht="12.75">
      <c r="A73" s="14" t="s">
        <v>457</v>
      </c>
      <c r="B73" s="14" t="s">
        <v>458</v>
      </c>
      <c r="C73" s="14" t="s">
        <v>440</v>
      </c>
      <c r="D73" s="14" t="str">
        <f>"0,7198"</f>
        <v>0,7198</v>
      </c>
      <c r="E73" s="14" t="s">
        <v>219</v>
      </c>
      <c r="F73" s="14" t="s">
        <v>383</v>
      </c>
      <c r="G73" s="14" t="s">
        <v>334</v>
      </c>
      <c r="H73" s="15" t="s">
        <v>221</v>
      </c>
      <c r="I73" s="15"/>
      <c r="J73" s="19">
        <v>70</v>
      </c>
      <c r="K73" s="14" t="str">
        <f>"50,3858"</f>
        <v>50,3858</v>
      </c>
      <c r="L73" s="14"/>
    </row>
    <row r="74" spans="1:12" ht="12.75">
      <c r="A74" s="14" t="s">
        <v>459</v>
      </c>
      <c r="B74" s="14" t="s">
        <v>460</v>
      </c>
      <c r="C74" s="14" t="s">
        <v>461</v>
      </c>
      <c r="D74" s="14" t="str">
        <f>"0,9110"</f>
        <v>0,9110</v>
      </c>
      <c r="E74" s="14" t="s">
        <v>49</v>
      </c>
      <c r="F74" s="14" t="s">
        <v>194</v>
      </c>
      <c r="G74" s="14" t="s">
        <v>293</v>
      </c>
      <c r="H74" s="15" t="s">
        <v>294</v>
      </c>
      <c r="I74" s="15"/>
      <c r="J74" s="19">
        <v>147.5</v>
      </c>
      <c r="K74" s="14" t="str">
        <f>"134,3757"</f>
        <v>134,3757</v>
      </c>
      <c r="L74" s="14"/>
    </row>
    <row r="75" spans="1:12" ht="12.75">
      <c r="A75" s="14" t="s">
        <v>235</v>
      </c>
      <c r="B75" s="14" t="s">
        <v>236</v>
      </c>
      <c r="C75" s="14" t="s">
        <v>237</v>
      </c>
      <c r="D75" s="14" t="str">
        <f>"0,9555"</f>
        <v>0,9555</v>
      </c>
      <c r="E75" s="14" t="s">
        <v>49</v>
      </c>
      <c r="F75" s="15" t="s">
        <v>191</v>
      </c>
      <c r="G75" s="14" t="s">
        <v>364</v>
      </c>
      <c r="H75" s="15" t="s">
        <v>123</v>
      </c>
      <c r="I75" s="15"/>
      <c r="J75" s="19">
        <v>120</v>
      </c>
      <c r="K75" s="14" t="str">
        <f>"114,6573"</f>
        <v>114,6573</v>
      </c>
      <c r="L75" s="14"/>
    </row>
    <row r="76" spans="1:12" ht="12.75">
      <c r="A76" s="14" t="s">
        <v>462</v>
      </c>
      <c r="B76" s="14" t="s">
        <v>463</v>
      </c>
      <c r="C76" s="14" t="s">
        <v>464</v>
      </c>
      <c r="D76" s="14" t="str">
        <f>"0,9189"</f>
        <v>0,9189</v>
      </c>
      <c r="E76" s="14" t="s">
        <v>49</v>
      </c>
      <c r="F76" s="15" t="s">
        <v>194</v>
      </c>
      <c r="G76" s="15"/>
      <c r="H76" s="15"/>
      <c r="I76" s="15"/>
      <c r="J76" s="19">
        <v>0</v>
      </c>
      <c r="K76" s="14" t="str">
        <f>"0,0000"</f>
        <v>0,0000</v>
      </c>
      <c r="L76" s="14"/>
    </row>
    <row r="77" spans="1:12" ht="12.75">
      <c r="A77" s="14" t="s">
        <v>465</v>
      </c>
      <c r="B77" s="14" t="s">
        <v>466</v>
      </c>
      <c r="C77" s="14" t="s">
        <v>467</v>
      </c>
      <c r="D77" s="14" t="str">
        <f>"1,0915"</f>
        <v>1,0915</v>
      </c>
      <c r="E77" s="14" t="s">
        <v>341</v>
      </c>
      <c r="F77" s="14" t="s">
        <v>220</v>
      </c>
      <c r="G77" s="15" t="s">
        <v>286</v>
      </c>
      <c r="H77" s="15" t="s">
        <v>221</v>
      </c>
      <c r="I77" s="15"/>
      <c r="J77" s="19" t="s">
        <v>170</v>
      </c>
      <c r="K77" s="14" t="s">
        <v>468</v>
      </c>
      <c r="L77" s="14"/>
    </row>
    <row r="78" spans="1:12" ht="12.75">
      <c r="A78" s="14" t="s">
        <v>469</v>
      </c>
      <c r="B78" s="14" t="s">
        <v>470</v>
      </c>
      <c r="C78" s="14" t="s">
        <v>467</v>
      </c>
      <c r="D78" s="14" t="str">
        <f>"1,2175"</f>
        <v>1,2175</v>
      </c>
      <c r="E78" s="14" t="s">
        <v>341</v>
      </c>
      <c r="F78" s="14" t="s">
        <v>304</v>
      </c>
      <c r="G78" s="14" t="s">
        <v>288</v>
      </c>
      <c r="H78" s="14" t="s">
        <v>16</v>
      </c>
      <c r="I78" s="15"/>
      <c r="J78" s="19">
        <v>105</v>
      </c>
      <c r="K78" s="14" t="str">
        <f>"127,8399"</f>
        <v>127,8399</v>
      </c>
      <c r="L78" s="14"/>
    </row>
    <row r="79" spans="1:12" ht="12.75">
      <c r="A79" s="14" t="s">
        <v>471</v>
      </c>
      <c r="B79" s="14" t="s">
        <v>472</v>
      </c>
      <c r="C79" s="14" t="s">
        <v>473</v>
      </c>
      <c r="D79" s="14" t="str">
        <f>"1,3507"</f>
        <v>1,3507</v>
      </c>
      <c r="E79" s="14" t="s">
        <v>49</v>
      </c>
      <c r="F79" s="14" t="s">
        <v>320</v>
      </c>
      <c r="G79" s="14" t="s">
        <v>321</v>
      </c>
      <c r="H79" s="14" t="s">
        <v>305</v>
      </c>
      <c r="I79" s="15"/>
      <c r="J79" s="19">
        <v>82.5</v>
      </c>
      <c r="K79" s="14" t="str">
        <f>"111,4301"</f>
        <v>111,4301</v>
      </c>
      <c r="L79" s="14"/>
    </row>
    <row r="80" spans="1:12" ht="12.75">
      <c r="A80" s="14" t="s">
        <v>474</v>
      </c>
      <c r="B80" s="14" t="s">
        <v>475</v>
      </c>
      <c r="C80" s="14" t="s">
        <v>476</v>
      </c>
      <c r="D80" s="14" t="str">
        <f>"1,2684"</f>
        <v>1,2684</v>
      </c>
      <c r="E80" s="14" t="s">
        <v>49</v>
      </c>
      <c r="F80" s="14" t="s">
        <v>316</v>
      </c>
      <c r="G80" s="14" t="s">
        <v>477</v>
      </c>
      <c r="H80" s="14" t="s">
        <v>334</v>
      </c>
      <c r="I80" s="15"/>
      <c r="J80" s="19">
        <v>70</v>
      </c>
      <c r="K80" s="14" t="str">
        <f>"88,7855"</f>
        <v>88,7855</v>
      </c>
      <c r="L80" s="14"/>
    </row>
    <row r="81" spans="1:12" ht="12.75">
      <c r="A81" s="11" t="s">
        <v>12</v>
      </c>
      <c r="B81" s="11" t="s">
        <v>13</v>
      </c>
      <c r="C81" s="11" t="s">
        <v>478</v>
      </c>
      <c r="D81" s="11" t="str">
        <f>"1,4101"</f>
        <v>1,4101</v>
      </c>
      <c r="E81" s="11" t="s">
        <v>15</v>
      </c>
      <c r="F81" s="11" t="s">
        <v>99</v>
      </c>
      <c r="G81" s="11" t="s">
        <v>220</v>
      </c>
      <c r="H81" s="11" t="s">
        <v>290</v>
      </c>
      <c r="I81" s="12"/>
      <c r="J81" s="18">
        <v>92.5</v>
      </c>
      <c r="K81" s="11" t="str">
        <f>"130,4336"</f>
        <v>130,4336</v>
      </c>
      <c r="L81" s="11"/>
    </row>
    <row r="83" spans="1:11" ht="15">
      <c r="A83" s="48" t="s">
        <v>35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2" ht="12.75">
      <c r="A84" s="9" t="s">
        <v>479</v>
      </c>
      <c r="B84" s="9" t="s">
        <v>480</v>
      </c>
      <c r="C84" s="9" t="s">
        <v>48</v>
      </c>
      <c r="D84" s="9" t="str">
        <f>"0,6122"</f>
        <v>0,6122</v>
      </c>
      <c r="E84" s="9" t="s">
        <v>49</v>
      </c>
      <c r="F84" s="9" t="s">
        <v>232</v>
      </c>
      <c r="G84" s="10" t="s">
        <v>193</v>
      </c>
      <c r="H84" s="9" t="s">
        <v>193</v>
      </c>
      <c r="I84" s="10"/>
      <c r="J84" s="17">
        <v>135</v>
      </c>
      <c r="K84" s="9" t="str">
        <f>"82,6537"</f>
        <v>82,6537</v>
      </c>
      <c r="L84" s="9"/>
    </row>
    <row r="85" spans="1:12" ht="12.75">
      <c r="A85" s="14" t="s">
        <v>481</v>
      </c>
      <c r="B85" s="14" t="s">
        <v>482</v>
      </c>
      <c r="C85" s="14" t="s">
        <v>238</v>
      </c>
      <c r="D85" s="14" t="str">
        <f>"0,6230"</f>
        <v>0,6230</v>
      </c>
      <c r="E85" s="14" t="s">
        <v>49</v>
      </c>
      <c r="F85" s="15" t="s">
        <v>44</v>
      </c>
      <c r="G85" s="14" t="s">
        <v>44</v>
      </c>
      <c r="H85" s="15" t="s">
        <v>226</v>
      </c>
      <c r="I85" s="15"/>
      <c r="J85" s="19">
        <v>210</v>
      </c>
      <c r="K85" s="14" t="str">
        <f>"130,8300"</f>
        <v>130,8300</v>
      </c>
      <c r="L85" s="14"/>
    </row>
    <row r="86" spans="1:12" ht="12.75">
      <c r="A86" s="14" t="s">
        <v>483</v>
      </c>
      <c r="B86" s="14" t="s">
        <v>484</v>
      </c>
      <c r="C86" s="14" t="s">
        <v>485</v>
      </c>
      <c r="D86" s="14" t="str">
        <f>"0,6192"</f>
        <v>0,6192</v>
      </c>
      <c r="E86" s="14" t="s">
        <v>39</v>
      </c>
      <c r="F86" s="14" t="s">
        <v>44</v>
      </c>
      <c r="G86" s="15" t="s">
        <v>226</v>
      </c>
      <c r="H86" s="15" t="s">
        <v>226</v>
      </c>
      <c r="I86" s="15"/>
      <c r="J86" s="19" t="s">
        <v>486</v>
      </c>
      <c r="K86" s="14" t="s">
        <v>487</v>
      </c>
      <c r="L86" s="14"/>
    </row>
    <row r="87" spans="1:12" ht="12.75">
      <c r="A87" s="14" t="s">
        <v>488</v>
      </c>
      <c r="B87" s="14" t="s">
        <v>489</v>
      </c>
      <c r="C87" s="14" t="s">
        <v>490</v>
      </c>
      <c r="D87" s="14" t="str">
        <f>"0,6181"</f>
        <v>0,6181</v>
      </c>
      <c r="E87" s="14" t="s">
        <v>49</v>
      </c>
      <c r="F87" s="14" t="s">
        <v>491</v>
      </c>
      <c r="G87" s="15" t="s">
        <v>492</v>
      </c>
      <c r="H87" s="14" t="s">
        <v>492</v>
      </c>
      <c r="I87" s="15"/>
      <c r="J87" s="19">
        <v>197.5</v>
      </c>
      <c r="K87" s="14" t="str">
        <f>"122,0747"</f>
        <v>122,0747</v>
      </c>
      <c r="L87" s="14"/>
    </row>
    <row r="88" spans="1:12" ht="12.75">
      <c r="A88" s="14" t="s">
        <v>493</v>
      </c>
      <c r="B88" s="14" t="s">
        <v>494</v>
      </c>
      <c r="C88" s="14" t="s">
        <v>292</v>
      </c>
      <c r="D88" s="14" t="str">
        <f>"0,6331"</f>
        <v>0,6331</v>
      </c>
      <c r="E88" s="14" t="s">
        <v>49</v>
      </c>
      <c r="F88" s="14" t="s">
        <v>140</v>
      </c>
      <c r="G88" s="14" t="s">
        <v>141</v>
      </c>
      <c r="H88" s="15" t="s">
        <v>28</v>
      </c>
      <c r="I88" s="15"/>
      <c r="J88" s="19">
        <v>190</v>
      </c>
      <c r="K88" s="14" t="str">
        <f>"120,2890"</f>
        <v>120,2890</v>
      </c>
      <c r="L88" s="14"/>
    </row>
    <row r="89" spans="1:12" ht="12.75">
      <c r="A89" s="14" t="s">
        <v>495</v>
      </c>
      <c r="B89" s="14" t="s">
        <v>496</v>
      </c>
      <c r="C89" s="14" t="s">
        <v>497</v>
      </c>
      <c r="D89" s="14" t="str">
        <f>"0,6269"</f>
        <v>0,6269</v>
      </c>
      <c r="E89" s="14" t="s">
        <v>49</v>
      </c>
      <c r="F89" s="14" t="s">
        <v>140</v>
      </c>
      <c r="G89" s="14" t="s">
        <v>141</v>
      </c>
      <c r="H89" s="15" t="s">
        <v>491</v>
      </c>
      <c r="I89" s="15"/>
      <c r="J89" s="19">
        <v>190</v>
      </c>
      <c r="K89" s="14" t="str">
        <f>"119,1015"</f>
        <v>119,1015</v>
      </c>
      <c r="L89" s="14"/>
    </row>
    <row r="90" spans="1:12" ht="12.75">
      <c r="A90" s="14" t="s">
        <v>498</v>
      </c>
      <c r="B90" s="14" t="s">
        <v>499</v>
      </c>
      <c r="C90" s="14" t="s">
        <v>500</v>
      </c>
      <c r="D90" s="14" t="str">
        <f>"0,6286"</f>
        <v>0,6286</v>
      </c>
      <c r="E90" s="14" t="s">
        <v>49</v>
      </c>
      <c r="F90" s="15" t="s">
        <v>140</v>
      </c>
      <c r="G90" s="14" t="s">
        <v>27</v>
      </c>
      <c r="H90" s="15" t="s">
        <v>141</v>
      </c>
      <c r="I90" s="15"/>
      <c r="J90" s="19">
        <v>185</v>
      </c>
      <c r="K90" s="14" t="str">
        <f>"116,2910"</f>
        <v>116,2910</v>
      </c>
      <c r="L90" s="14"/>
    </row>
    <row r="91" spans="1:12" ht="12.75">
      <c r="A91" s="14" t="s">
        <v>501</v>
      </c>
      <c r="B91" s="14" t="s">
        <v>502</v>
      </c>
      <c r="C91" s="14" t="s">
        <v>503</v>
      </c>
      <c r="D91" s="14" t="str">
        <f>"0,6177"</f>
        <v>0,6177</v>
      </c>
      <c r="E91" s="14" t="s">
        <v>39</v>
      </c>
      <c r="F91" s="14" t="s">
        <v>27</v>
      </c>
      <c r="G91" s="15" t="s">
        <v>491</v>
      </c>
      <c r="H91" s="15" t="s">
        <v>491</v>
      </c>
      <c r="I91" s="15"/>
      <c r="J91" s="19">
        <v>185</v>
      </c>
      <c r="K91" s="14" t="str">
        <f>"114,2745"</f>
        <v>114,2745</v>
      </c>
      <c r="L91" s="14"/>
    </row>
    <row r="92" spans="1:12" ht="12.75">
      <c r="A92" s="14" t="s">
        <v>504</v>
      </c>
      <c r="B92" s="14" t="s">
        <v>505</v>
      </c>
      <c r="C92" s="14" t="s">
        <v>506</v>
      </c>
      <c r="D92" s="14" t="str">
        <f>"0,6184"</f>
        <v>0,6184</v>
      </c>
      <c r="E92" s="14" t="s">
        <v>219</v>
      </c>
      <c r="F92" s="14" t="s">
        <v>196</v>
      </c>
      <c r="G92" s="15" t="s">
        <v>140</v>
      </c>
      <c r="H92" s="15" t="s">
        <v>406</v>
      </c>
      <c r="I92" s="15"/>
      <c r="J92" s="19">
        <v>170</v>
      </c>
      <c r="K92" s="14" t="str">
        <f>"105,1365"</f>
        <v>105,1365</v>
      </c>
      <c r="L92" s="14"/>
    </row>
    <row r="93" spans="1:12" ht="12.75">
      <c r="A93" s="14" t="s">
        <v>507</v>
      </c>
      <c r="B93" s="14" t="s">
        <v>508</v>
      </c>
      <c r="C93" s="14" t="s">
        <v>295</v>
      </c>
      <c r="D93" s="14" t="str">
        <f>"0,6133"</f>
        <v>0,6133</v>
      </c>
      <c r="E93" s="14" t="s">
        <v>98</v>
      </c>
      <c r="F93" s="15"/>
      <c r="G93" s="15"/>
      <c r="H93" s="15"/>
      <c r="I93" s="15"/>
      <c r="J93" s="19">
        <v>0</v>
      </c>
      <c r="K93" s="14" t="str">
        <f>"0,0000"</f>
        <v>0,0000</v>
      </c>
      <c r="L93" s="14"/>
    </row>
    <row r="94" spans="1:12" ht="12.75">
      <c r="A94" s="14" t="s">
        <v>495</v>
      </c>
      <c r="B94" s="14" t="s">
        <v>509</v>
      </c>
      <c r="C94" s="14" t="s">
        <v>497</v>
      </c>
      <c r="D94" s="14" t="str">
        <f>"0,6463"</f>
        <v>0,6463</v>
      </c>
      <c r="E94" s="14" t="s">
        <v>49</v>
      </c>
      <c r="F94" s="14" t="s">
        <v>140</v>
      </c>
      <c r="G94" s="14" t="s">
        <v>141</v>
      </c>
      <c r="H94" s="15" t="s">
        <v>491</v>
      </c>
      <c r="I94" s="15"/>
      <c r="J94" s="19">
        <v>190</v>
      </c>
      <c r="K94" s="14" t="str">
        <f>"122,7937"</f>
        <v>122,7937</v>
      </c>
      <c r="L94" s="14"/>
    </row>
    <row r="95" spans="1:12" ht="12.75">
      <c r="A95" s="14" t="s">
        <v>510</v>
      </c>
      <c r="B95" s="14" t="s">
        <v>511</v>
      </c>
      <c r="C95" s="14" t="s">
        <v>512</v>
      </c>
      <c r="D95" s="14" t="str">
        <f>"0,6420"</f>
        <v>0,6420</v>
      </c>
      <c r="E95" s="14" t="s">
        <v>49</v>
      </c>
      <c r="F95" s="14" t="s">
        <v>28</v>
      </c>
      <c r="G95" s="15" t="s">
        <v>44</v>
      </c>
      <c r="H95" s="15" t="s">
        <v>44</v>
      </c>
      <c r="I95" s="15"/>
      <c r="J95" s="19" t="s">
        <v>513</v>
      </c>
      <c r="K95" s="14" t="s">
        <v>514</v>
      </c>
      <c r="L95" s="14"/>
    </row>
    <row r="96" spans="1:12" ht="12.75">
      <c r="A96" s="14" t="s">
        <v>507</v>
      </c>
      <c r="B96" s="14" t="s">
        <v>515</v>
      </c>
      <c r="C96" s="14" t="s">
        <v>295</v>
      </c>
      <c r="D96" s="14" t="str">
        <f>"0,6636"</f>
        <v>0,6636</v>
      </c>
      <c r="E96" s="14" t="s">
        <v>98</v>
      </c>
      <c r="F96" s="14" t="s">
        <v>226</v>
      </c>
      <c r="G96" s="14" t="s">
        <v>124</v>
      </c>
      <c r="H96" s="14" t="s">
        <v>516</v>
      </c>
      <c r="I96" s="14" t="s">
        <v>517</v>
      </c>
      <c r="J96" s="19">
        <v>232.5</v>
      </c>
      <c r="K96" s="14" t="str">
        <f>"154,2974"</f>
        <v>154,2974</v>
      </c>
      <c r="L96" s="14"/>
    </row>
    <row r="97" spans="1:12" ht="12.75">
      <c r="A97" s="14" t="s">
        <v>518</v>
      </c>
      <c r="B97" s="14" t="s">
        <v>519</v>
      </c>
      <c r="C97" s="14" t="s">
        <v>520</v>
      </c>
      <c r="D97" s="14" t="str">
        <f>"0,6649"</f>
        <v>0,6649</v>
      </c>
      <c r="E97" s="14" t="s">
        <v>49</v>
      </c>
      <c r="F97" s="14" t="s">
        <v>140</v>
      </c>
      <c r="G97" s="14" t="s">
        <v>141</v>
      </c>
      <c r="H97" s="14" t="s">
        <v>406</v>
      </c>
      <c r="I97" s="15"/>
      <c r="J97" s="19">
        <v>192.5</v>
      </c>
      <c r="K97" s="14" t="str">
        <f>"128,0003"</f>
        <v>128,0003</v>
      </c>
      <c r="L97" s="14"/>
    </row>
    <row r="98" spans="1:12" ht="12.75">
      <c r="A98" s="14" t="s">
        <v>291</v>
      </c>
      <c r="B98" s="14" t="s">
        <v>521</v>
      </c>
      <c r="C98" s="14" t="s">
        <v>292</v>
      </c>
      <c r="D98" s="14" t="str">
        <f>"0,7262"</f>
        <v>0,7262</v>
      </c>
      <c r="E98" s="14" t="s">
        <v>285</v>
      </c>
      <c r="F98" s="14" t="s">
        <v>194</v>
      </c>
      <c r="G98" s="14" t="s">
        <v>293</v>
      </c>
      <c r="H98" s="15" t="s">
        <v>294</v>
      </c>
      <c r="I98" s="15"/>
      <c r="J98" s="19">
        <v>147.5</v>
      </c>
      <c r="K98" s="14" t="str">
        <f>"107,1094"</f>
        <v>107,1094</v>
      </c>
      <c r="L98" s="14"/>
    </row>
    <row r="99" spans="1:12" ht="12.75">
      <c r="A99" s="14" t="s">
        <v>522</v>
      </c>
      <c r="B99" s="14" t="s">
        <v>523</v>
      </c>
      <c r="C99" s="14" t="s">
        <v>524</v>
      </c>
      <c r="D99" s="14" t="str">
        <f>"0,7447"</f>
        <v>0,7447</v>
      </c>
      <c r="E99" s="14" t="s">
        <v>49</v>
      </c>
      <c r="F99" s="14" t="s">
        <v>232</v>
      </c>
      <c r="G99" s="15" t="s">
        <v>193</v>
      </c>
      <c r="H99" s="15" t="s">
        <v>193</v>
      </c>
      <c r="I99" s="15"/>
      <c r="J99" s="19" t="s">
        <v>251</v>
      </c>
      <c r="K99" s="14" t="s">
        <v>525</v>
      </c>
      <c r="L99" s="14"/>
    </row>
    <row r="100" spans="1:12" ht="12.75">
      <c r="A100" s="14" t="s">
        <v>46</v>
      </c>
      <c r="B100" s="14" t="s">
        <v>47</v>
      </c>
      <c r="C100" s="14" t="s">
        <v>48</v>
      </c>
      <c r="D100" s="14" t="str">
        <f>"0,7763"</f>
        <v>0,7763</v>
      </c>
      <c r="E100" s="14" t="s">
        <v>49</v>
      </c>
      <c r="F100" s="14" t="s">
        <v>196</v>
      </c>
      <c r="G100" s="14" t="s">
        <v>215</v>
      </c>
      <c r="H100" s="14" t="s">
        <v>140</v>
      </c>
      <c r="I100" s="15"/>
      <c r="J100" s="19">
        <v>180</v>
      </c>
      <c r="K100" s="14" t="str">
        <f>"139,7399"</f>
        <v>139,7399</v>
      </c>
      <c r="L100" s="14"/>
    </row>
    <row r="101" spans="1:12" ht="12.75">
      <c r="A101" s="14" t="s">
        <v>526</v>
      </c>
      <c r="B101" s="14" t="s">
        <v>527</v>
      </c>
      <c r="C101" s="14" t="s">
        <v>528</v>
      </c>
      <c r="D101" s="14" t="str">
        <f>"0,7652"</f>
        <v>0,7652</v>
      </c>
      <c r="E101" s="14" t="s">
        <v>49</v>
      </c>
      <c r="F101" s="14" t="s">
        <v>529</v>
      </c>
      <c r="G101" s="14" t="s">
        <v>196</v>
      </c>
      <c r="H101" s="14" t="s">
        <v>215</v>
      </c>
      <c r="I101" s="15"/>
      <c r="J101" s="19">
        <v>175</v>
      </c>
      <c r="K101" s="14" t="str">
        <f>"133,9093"</f>
        <v>133,9093</v>
      </c>
      <c r="L101" s="14"/>
    </row>
    <row r="102" spans="1:12" ht="12.75">
      <c r="A102" s="11" t="s">
        <v>239</v>
      </c>
      <c r="B102" s="11" t="s">
        <v>240</v>
      </c>
      <c r="C102" s="11" t="s">
        <v>241</v>
      </c>
      <c r="D102" s="11" t="str">
        <f>"1,0658"</f>
        <v>1,0658</v>
      </c>
      <c r="E102" s="11" t="s">
        <v>49</v>
      </c>
      <c r="F102" s="11" t="s">
        <v>221</v>
      </c>
      <c r="G102" s="11" t="s">
        <v>422</v>
      </c>
      <c r="H102" s="12" t="s">
        <v>350</v>
      </c>
      <c r="I102" s="12"/>
      <c r="J102" s="18">
        <v>107.5</v>
      </c>
      <c r="K102" s="11" t="str">
        <f>"114,5686"</f>
        <v>114,5686</v>
      </c>
      <c r="L102" s="11"/>
    </row>
    <row r="104" spans="1:11" ht="15">
      <c r="A104" s="48" t="s">
        <v>53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2" ht="12.75">
      <c r="A105" s="9" t="s">
        <v>530</v>
      </c>
      <c r="B105" s="9" t="s">
        <v>531</v>
      </c>
      <c r="C105" s="9" t="s">
        <v>532</v>
      </c>
      <c r="D105" s="9" t="str">
        <f>"0,6071"</f>
        <v>0,6071</v>
      </c>
      <c r="E105" s="9" t="s">
        <v>227</v>
      </c>
      <c r="F105" s="10" t="s">
        <v>147</v>
      </c>
      <c r="G105" s="10" t="s">
        <v>147</v>
      </c>
      <c r="H105" s="10" t="s">
        <v>196</v>
      </c>
      <c r="I105" s="10"/>
      <c r="J105" s="17">
        <v>0</v>
      </c>
      <c r="K105" s="9" t="str">
        <f>"0,0000"</f>
        <v>0,0000</v>
      </c>
      <c r="L105" s="9"/>
    </row>
    <row r="106" spans="1:12" ht="12.75">
      <c r="A106" s="14" t="s">
        <v>533</v>
      </c>
      <c r="B106" s="14" t="s">
        <v>534</v>
      </c>
      <c r="C106" s="14" t="s">
        <v>535</v>
      </c>
      <c r="D106" s="14" t="str">
        <f>"0,5894"</f>
        <v>0,5894</v>
      </c>
      <c r="E106" s="14" t="s">
        <v>32</v>
      </c>
      <c r="F106" s="14" t="s">
        <v>27</v>
      </c>
      <c r="G106" s="14" t="s">
        <v>141</v>
      </c>
      <c r="H106" s="15" t="s">
        <v>491</v>
      </c>
      <c r="I106" s="15"/>
      <c r="J106" s="19">
        <v>190</v>
      </c>
      <c r="K106" s="14" t="str">
        <f>"111,9860"</f>
        <v>111,9860</v>
      </c>
      <c r="L106" s="14"/>
    </row>
    <row r="107" spans="1:12" ht="12.75">
      <c r="A107" s="14" t="s">
        <v>536</v>
      </c>
      <c r="B107" s="14" t="s">
        <v>537</v>
      </c>
      <c r="C107" s="14" t="s">
        <v>538</v>
      </c>
      <c r="D107" s="14" t="str">
        <f>"0,5823"</f>
        <v>0,5823</v>
      </c>
      <c r="E107" s="14" t="s">
        <v>49</v>
      </c>
      <c r="F107" s="14" t="s">
        <v>44</v>
      </c>
      <c r="G107" s="15" t="s">
        <v>539</v>
      </c>
      <c r="H107" s="14" t="s">
        <v>539</v>
      </c>
      <c r="I107" s="15"/>
      <c r="J107" s="19">
        <v>222.5</v>
      </c>
      <c r="K107" s="14" t="str">
        <f>"129,5618"</f>
        <v>129,5618</v>
      </c>
      <c r="L107" s="14"/>
    </row>
    <row r="108" spans="1:12" ht="12.75">
      <c r="A108" s="14" t="s">
        <v>540</v>
      </c>
      <c r="B108" s="14" t="s">
        <v>541</v>
      </c>
      <c r="C108" s="14" t="s">
        <v>56</v>
      </c>
      <c r="D108" s="14" t="str">
        <f>"0,5828"</f>
        <v>0,5828</v>
      </c>
      <c r="E108" s="14" t="s">
        <v>49</v>
      </c>
      <c r="F108" s="14" t="s">
        <v>406</v>
      </c>
      <c r="G108" s="15" t="s">
        <v>28</v>
      </c>
      <c r="H108" s="14" t="s">
        <v>28</v>
      </c>
      <c r="I108" s="15"/>
      <c r="J108" s="19">
        <v>200</v>
      </c>
      <c r="K108" s="14" t="str">
        <f>"116,5600"</f>
        <v>116,5600</v>
      </c>
      <c r="L108" s="14"/>
    </row>
    <row r="109" spans="1:12" ht="12.75">
      <c r="A109" s="14" t="s">
        <v>542</v>
      </c>
      <c r="B109" s="14" t="s">
        <v>543</v>
      </c>
      <c r="C109" s="14" t="s">
        <v>544</v>
      </c>
      <c r="D109" s="14" t="str">
        <f>"0,5870"</f>
        <v>0,5870</v>
      </c>
      <c r="E109" s="14" t="s">
        <v>39</v>
      </c>
      <c r="F109" s="14" t="s">
        <v>406</v>
      </c>
      <c r="G109" s="15" t="s">
        <v>28</v>
      </c>
      <c r="H109" s="15" t="s">
        <v>28</v>
      </c>
      <c r="I109" s="15"/>
      <c r="J109" s="19">
        <v>192.5</v>
      </c>
      <c r="K109" s="14" t="str">
        <f>"112,9879"</f>
        <v>112,9879</v>
      </c>
      <c r="L109" s="14"/>
    </row>
    <row r="110" spans="1:12" ht="12.75">
      <c r="A110" s="14" t="s">
        <v>540</v>
      </c>
      <c r="B110" s="14" t="s">
        <v>545</v>
      </c>
      <c r="C110" s="14" t="s">
        <v>56</v>
      </c>
      <c r="D110" s="14" t="str">
        <f>"0,6009"</f>
        <v>0,6009</v>
      </c>
      <c r="E110" s="14" t="s">
        <v>49</v>
      </c>
      <c r="F110" s="14" t="s">
        <v>406</v>
      </c>
      <c r="G110" s="15" t="s">
        <v>28</v>
      </c>
      <c r="H110" s="14" t="s">
        <v>28</v>
      </c>
      <c r="I110" s="15"/>
      <c r="J110" s="19">
        <v>200</v>
      </c>
      <c r="K110" s="14" t="str">
        <f>"120,1734"</f>
        <v>120,1734</v>
      </c>
      <c r="L110" s="14"/>
    </row>
    <row r="111" spans="1:12" ht="12.75">
      <c r="A111" s="14" t="s">
        <v>546</v>
      </c>
      <c r="B111" s="14" t="s">
        <v>547</v>
      </c>
      <c r="C111" s="14" t="s">
        <v>548</v>
      </c>
      <c r="D111" s="14" t="str">
        <f>"0,5936"</f>
        <v>0,5936</v>
      </c>
      <c r="E111" s="14" t="s">
        <v>49</v>
      </c>
      <c r="F111" s="14" t="s">
        <v>147</v>
      </c>
      <c r="G111" s="14" t="s">
        <v>195</v>
      </c>
      <c r="H111" s="14" t="s">
        <v>196</v>
      </c>
      <c r="I111" s="15"/>
      <c r="J111" s="19">
        <v>170</v>
      </c>
      <c r="K111" s="14" t="str">
        <f>"100,9167"</f>
        <v>100,9167</v>
      </c>
      <c r="L111" s="14"/>
    </row>
    <row r="112" spans="1:12" ht="12.75">
      <c r="A112" s="14" t="s">
        <v>549</v>
      </c>
      <c r="B112" s="14" t="s">
        <v>550</v>
      </c>
      <c r="C112" s="14" t="s">
        <v>551</v>
      </c>
      <c r="D112" s="14" t="str">
        <f>"0,6670"</f>
        <v>0,6670</v>
      </c>
      <c r="E112" s="14" t="s">
        <v>285</v>
      </c>
      <c r="F112" s="14" t="s">
        <v>196</v>
      </c>
      <c r="G112" s="14" t="s">
        <v>140</v>
      </c>
      <c r="H112" s="15" t="s">
        <v>552</v>
      </c>
      <c r="I112" s="15"/>
      <c r="J112" s="19">
        <v>180</v>
      </c>
      <c r="K112" s="14" t="str">
        <f>"120,0668"</f>
        <v>120,0668</v>
      </c>
      <c r="L112" s="14"/>
    </row>
    <row r="113" spans="1:12" ht="12.75">
      <c r="A113" s="14" t="s">
        <v>553</v>
      </c>
      <c r="B113" s="14" t="s">
        <v>554</v>
      </c>
      <c r="C113" s="14" t="s">
        <v>555</v>
      </c>
      <c r="D113" s="14" t="str">
        <f>"0,6975"</f>
        <v>0,6975</v>
      </c>
      <c r="E113" s="14" t="s">
        <v>227</v>
      </c>
      <c r="F113" s="15" t="s">
        <v>147</v>
      </c>
      <c r="G113" s="14" t="s">
        <v>147</v>
      </c>
      <c r="H113" s="15" t="s">
        <v>195</v>
      </c>
      <c r="I113" s="15"/>
      <c r="J113" s="19">
        <v>160</v>
      </c>
      <c r="K113" s="14" t="str">
        <f>"111,5991"</f>
        <v>111,5991</v>
      </c>
      <c r="L113" s="14"/>
    </row>
    <row r="114" spans="1:12" ht="12.75">
      <c r="A114" s="14" t="s">
        <v>556</v>
      </c>
      <c r="B114" s="14" t="s">
        <v>557</v>
      </c>
      <c r="C114" s="14" t="s">
        <v>558</v>
      </c>
      <c r="D114" s="14" t="str">
        <f>"0,6837"</f>
        <v>0,6837</v>
      </c>
      <c r="E114" s="14" t="s">
        <v>49</v>
      </c>
      <c r="F114" s="15" t="s">
        <v>123</v>
      </c>
      <c r="G114" s="15" t="s">
        <v>193</v>
      </c>
      <c r="H114" s="14" t="s">
        <v>233</v>
      </c>
      <c r="I114" s="15"/>
      <c r="J114" s="19">
        <v>145</v>
      </c>
      <c r="K114" s="14" t="str">
        <f>"99,1293"</f>
        <v>99,1293</v>
      </c>
      <c r="L114" s="14"/>
    </row>
    <row r="115" spans="1:12" ht="12.75">
      <c r="A115" s="14" t="s">
        <v>559</v>
      </c>
      <c r="B115" s="14" t="s">
        <v>560</v>
      </c>
      <c r="C115" s="14" t="s">
        <v>244</v>
      </c>
      <c r="D115" s="14" t="str">
        <f>"0,7638"</f>
        <v>0,7638</v>
      </c>
      <c r="E115" s="14" t="s">
        <v>49</v>
      </c>
      <c r="F115" s="14" t="s">
        <v>28</v>
      </c>
      <c r="G115" s="14" t="s">
        <v>44</v>
      </c>
      <c r="H115" s="15" t="s">
        <v>245</v>
      </c>
      <c r="I115" s="15"/>
      <c r="J115" s="19">
        <v>210</v>
      </c>
      <c r="K115" s="14" t="str">
        <f>"160,4022"</f>
        <v>160,4022</v>
      </c>
      <c r="L115" s="14"/>
    </row>
    <row r="116" spans="1:12" ht="12.75">
      <c r="A116" s="14" t="s">
        <v>561</v>
      </c>
      <c r="B116" s="14" t="s">
        <v>562</v>
      </c>
      <c r="C116" s="14" t="s">
        <v>563</v>
      </c>
      <c r="D116" s="14" t="str">
        <f>"0,7620"</f>
        <v>0,7620</v>
      </c>
      <c r="E116" s="14" t="s">
        <v>421</v>
      </c>
      <c r="F116" s="14" t="s">
        <v>193</v>
      </c>
      <c r="G116" s="14" t="s">
        <v>564</v>
      </c>
      <c r="H116" s="15" t="s">
        <v>233</v>
      </c>
      <c r="I116" s="15"/>
      <c r="J116" s="19">
        <v>142.5</v>
      </c>
      <c r="K116" s="14" t="str">
        <f>"108,5857"</f>
        <v>108,5857</v>
      </c>
      <c r="L116" s="14"/>
    </row>
    <row r="117" spans="1:12" ht="12.75">
      <c r="A117" s="11" t="s">
        <v>565</v>
      </c>
      <c r="B117" s="11" t="s">
        <v>566</v>
      </c>
      <c r="C117" s="11" t="s">
        <v>567</v>
      </c>
      <c r="D117" s="11" t="str">
        <f>"0,7509"</f>
        <v>0,7509</v>
      </c>
      <c r="E117" s="11" t="s">
        <v>49</v>
      </c>
      <c r="F117" s="11" t="s">
        <v>221</v>
      </c>
      <c r="G117" s="11" t="s">
        <v>350</v>
      </c>
      <c r="H117" s="12"/>
      <c r="I117" s="12"/>
      <c r="J117" s="18">
        <v>112.5</v>
      </c>
      <c r="K117" s="11" t="str">
        <f>"84,4765"</f>
        <v>84,4765</v>
      </c>
      <c r="L117" s="11"/>
    </row>
    <row r="119" spans="1:11" ht="15">
      <c r="A119" s="48" t="s">
        <v>57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2" ht="12.75">
      <c r="A120" s="14" t="s">
        <v>568</v>
      </c>
      <c r="B120" s="14" t="s">
        <v>569</v>
      </c>
      <c r="C120" s="14" t="s">
        <v>570</v>
      </c>
      <c r="D120" s="14" t="str">
        <f>"0,5799"</f>
        <v>0,5799</v>
      </c>
      <c r="E120" s="14" t="s">
        <v>219</v>
      </c>
      <c r="F120" s="14" t="s">
        <v>215</v>
      </c>
      <c r="G120" s="15" t="s">
        <v>140</v>
      </c>
      <c r="H120" s="15"/>
      <c r="I120" s="15"/>
      <c r="J120" s="19" t="s">
        <v>571</v>
      </c>
      <c r="K120" s="14" t="s">
        <v>572</v>
      </c>
      <c r="L120" s="14"/>
    </row>
    <row r="121" spans="1:12" ht="12.75">
      <c r="A121" s="9" t="s">
        <v>573</v>
      </c>
      <c r="B121" s="9" t="s">
        <v>574</v>
      </c>
      <c r="C121" s="9" t="s">
        <v>575</v>
      </c>
      <c r="D121" s="9" t="str">
        <f>"0,5767"</f>
        <v>0,5767</v>
      </c>
      <c r="E121" s="9" t="s">
        <v>576</v>
      </c>
      <c r="F121" s="9" t="s">
        <v>147</v>
      </c>
      <c r="G121" s="9" t="s">
        <v>215</v>
      </c>
      <c r="H121" s="10" t="s">
        <v>140</v>
      </c>
      <c r="I121" s="10"/>
      <c r="J121" s="17">
        <v>175</v>
      </c>
      <c r="K121" s="9" t="str">
        <f>"100,9225"</f>
        <v>100,9225</v>
      </c>
      <c r="L121" s="9"/>
    </row>
    <row r="122" spans="1:12" ht="12.75">
      <c r="A122" s="14" t="s">
        <v>577</v>
      </c>
      <c r="B122" s="14" t="s">
        <v>578</v>
      </c>
      <c r="C122" s="14" t="s">
        <v>579</v>
      </c>
      <c r="D122" s="14" t="str">
        <f>"0,5701"</f>
        <v>0,5701</v>
      </c>
      <c r="E122" s="14" t="s">
        <v>49</v>
      </c>
      <c r="F122" s="14" t="s">
        <v>44</v>
      </c>
      <c r="G122" s="14" t="s">
        <v>228</v>
      </c>
      <c r="H122" s="14" t="s">
        <v>135</v>
      </c>
      <c r="I122" s="15"/>
      <c r="J122" s="19">
        <v>232.5</v>
      </c>
      <c r="K122" s="14" t="str">
        <f>"132,5483"</f>
        <v>132,5483</v>
      </c>
      <c r="L122" s="14"/>
    </row>
    <row r="123" spans="1:12" ht="12.75">
      <c r="A123" s="14" t="s">
        <v>580</v>
      </c>
      <c r="B123" s="14" t="s">
        <v>581</v>
      </c>
      <c r="C123" s="14" t="s">
        <v>582</v>
      </c>
      <c r="D123" s="14" t="str">
        <f>"0,5645"</f>
        <v>0,5645</v>
      </c>
      <c r="E123" s="14" t="s">
        <v>341</v>
      </c>
      <c r="F123" s="14" t="s">
        <v>44</v>
      </c>
      <c r="G123" s="14" t="s">
        <v>226</v>
      </c>
      <c r="H123" s="14" t="s">
        <v>228</v>
      </c>
      <c r="I123" s="15"/>
      <c r="J123" s="19">
        <v>225</v>
      </c>
      <c r="K123" s="14" t="str">
        <f>"127,0237"</f>
        <v>127,0237</v>
      </c>
      <c r="L123" s="14"/>
    </row>
    <row r="124" spans="1:12" ht="12.75">
      <c r="A124" s="14" t="s">
        <v>583</v>
      </c>
      <c r="B124" s="14" t="s">
        <v>584</v>
      </c>
      <c r="C124" s="14" t="s">
        <v>585</v>
      </c>
      <c r="D124" s="14" t="str">
        <f>"0,5734"</f>
        <v>0,5734</v>
      </c>
      <c r="E124" s="14" t="s">
        <v>49</v>
      </c>
      <c r="F124" s="14" t="s">
        <v>28</v>
      </c>
      <c r="G124" s="14" t="s">
        <v>586</v>
      </c>
      <c r="H124" s="14" t="s">
        <v>245</v>
      </c>
      <c r="I124" s="15"/>
      <c r="J124" s="19">
        <v>212.5</v>
      </c>
      <c r="K124" s="14" t="str">
        <f>"121,8369"</f>
        <v>121,8369</v>
      </c>
      <c r="L124" s="14"/>
    </row>
    <row r="125" spans="1:12" ht="12.75">
      <c r="A125" s="14" t="s">
        <v>587</v>
      </c>
      <c r="B125" s="14" t="s">
        <v>588</v>
      </c>
      <c r="C125" s="14" t="s">
        <v>589</v>
      </c>
      <c r="D125" s="14" t="str">
        <f>"0,5678"</f>
        <v>0,5678</v>
      </c>
      <c r="E125" s="14" t="s">
        <v>49</v>
      </c>
      <c r="F125" s="14" t="s">
        <v>210</v>
      </c>
      <c r="G125" s="14" t="s">
        <v>245</v>
      </c>
      <c r="H125" s="15" t="s">
        <v>539</v>
      </c>
      <c r="I125" s="15"/>
      <c r="J125" s="19">
        <v>212.5</v>
      </c>
      <c r="K125" s="14" t="str">
        <f>"120,6575"</f>
        <v>120,6575</v>
      </c>
      <c r="L125" s="14"/>
    </row>
    <row r="126" spans="1:12" ht="12.75">
      <c r="A126" s="14" t="s">
        <v>590</v>
      </c>
      <c r="B126" s="14" t="s">
        <v>591</v>
      </c>
      <c r="C126" s="14" t="s">
        <v>592</v>
      </c>
      <c r="D126" s="14" t="str">
        <f>"0,5655"</f>
        <v>0,5655</v>
      </c>
      <c r="E126" s="14" t="s">
        <v>39</v>
      </c>
      <c r="F126" s="14" t="s">
        <v>593</v>
      </c>
      <c r="G126" s="15" t="s">
        <v>44</v>
      </c>
      <c r="H126" s="14" t="s">
        <v>44</v>
      </c>
      <c r="I126" s="15"/>
      <c r="J126" s="19">
        <v>210</v>
      </c>
      <c r="K126" s="14" t="str">
        <f>"118,7550"</f>
        <v>118,7550</v>
      </c>
      <c r="L126" s="14"/>
    </row>
    <row r="127" spans="1:12" ht="12.75">
      <c r="A127" s="14" t="s">
        <v>594</v>
      </c>
      <c r="B127" s="14" t="s">
        <v>595</v>
      </c>
      <c r="C127" s="14" t="s">
        <v>596</v>
      </c>
      <c r="D127" s="14" t="str">
        <f>"0,5681"</f>
        <v>0,5681</v>
      </c>
      <c r="E127" s="14" t="s">
        <v>49</v>
      </c>
      <c r="F127" s="15" t="s">
        <v>141</v>
      </c>
      <c r="G127" s="14" t="s">
        <v>141</v>
      </c>
      <c r="H127" s="14" t="s">
        <v>28</v>
      </c>
      <c r="I127" s="15"/>
      <c r="J127" s="19">
        <v>200</v>
      </c>
      <c r="K127" s="14" t="str">
        <f>"113,6200"</f>
        <v>113,6200</v>
      </c>
      <c r="L127" s="14"/>
    </row>
    <row r="128" spans="1:12" ht="12.75">
      <c r="A128" s="14" t="s">
        <v>597</v>
      </c>
      <c r="B128" s="14" t="s">
        <v>598</v>
      </c>
      <c r="C128" s="14" t="s">
        <v>599</v>
      </c>
      <c r="D128" s="14" t="str">
        <f>"0,5788"</f>
        <v>0,5788</v>
      </c>
      <c r="E128" s="14" t="s">
        <v>49</v>
      </c>
      <c r="F128" s="14" t="s">
        <v>88</v>
      </c>
      <c r="G128" s="14" t="s">
        <v>50</v>
      </c>
      <c r="H128" s="14" t="s">
        <v>33</v>
      </c>
      <c r="I128" s="15"/>
      <c r="J128" s="19">
        <v>240</v>
      </c>
      <c r="K128" s="14" t="str">
        <f>"138,9118"</f>
        <v>138,9118</v>
      </c>
      <c r="L128" s="14"/>
    </row>
    <row r="129" spans="1:12" ht="12.75">
      <c r="A129" s="14" t="s">
        <v>600</v>
      </c>
      <c r="B129" s="14" t="s">
        <v>601</v>
      </c>
      <c r="C129" s="14" t="s">
        <v>602</v>
      </c>
      <c r="D129" s="14" t="str">
        <f>"0,5868"</f>
        <v>0,5868</v>
      </c>
      <c r="E129" s="14" t="s">
        <v>49</v>
      </c>
      <c r="F129" s="14" t="s">
        <v>28</v>
      </c>
      <c r="G129" s="14" t="s">
        <v>44</v>
      </c>
      <c r="H129" s="14" t="s">
        <v>211</v>
      </c>
      <c r="I129" s="15"/>
      <c r="J129" s="19">
        <v>215</v>
      </c>
      <c r="K129" s="14" t="str">
        <f>"126,1717"</f>
        <v>126,1717</v>
      </c>
      <c r="L129" s="14"/>
    </row>
    <row r="130" spans="1:12" ht="12.75">
      <c r="A130" s="14" t="s">
        <v>603</v>
      </c>
      <c r="B130" s="14" t="s">
        <v>604</v>
      </c>
      <c r="C130" s="14" t="s">
        <v>605</v>
      </c>
      <c r="D130" s="14" t="str">
        <f>"0,5780"</f>
        <v>0,5780</v>
      </c>
      <c r="E130" s="14" t="s">
        <v>49</v>
      </c>
      <c r="F130" s="14" t="s">
        <v>141</v>
      </c>
      <c r="G130" s="15" t="s">
        <v>28</v>
      </c>
      <c r="H130" s="14" t="s">
        <v>593</v>
      </c>
      <c r="I130" s="15"/>
      <c r="J130" s="19">
        <v>202.5</v>
      </c>
      <c r="K130" s="14" t="str">
        <f>"117,0415"</f>
        <v>117,0415</v>
      </c>
      <c r="L130" s="14"/>
    </row>
    <row r="131" spans="1:12" ht="12.75">
      <c r="A131" s="14" t="s">
        <v>594</v>
      </c>
      <c r="B131" s="14" t="s">
        <v>606</v>
      </c>
      <c r="C131" s="14" t="s">
        <v>596</v>
      </c>
      <c r="D131" s="14" t="str">
        <f>"0,5795"</f>
        <v>0,5795</v>
      </c>
      <c r="E131" s="14" t="s">
        <v>49</v>
      </c>
      <c r="F131" s="15" t="s">
        <v>141</v>
      </c>
      <c r="G131" s="14" t="s">
        <v>141</v>
      </c>
      <c r="H131" s="14" t="s">
        <v>28</v>
      </c>
      <c r="I131" s="15"/>
      <c r="J131" s="19">
        <v>200</v>
      </c>
      <c r="K131" s="14" t="str">
        <f>"115,8924"</f>
        <v>115,8924</v>
      </c>
      <c r="L131" s="14"/>
    </row>
    <row r="132" spans="1:12" ht="12.75">
      <c r="A132" s="14" t="s">
        <v>607</v>
      </c>
      <c r="B132" s="14" t="s">
        <v>608</v>
      </c>
      <c r="C132" s="14" t="s">
        <v>609</v>
      </c>
      <c r="D132" s="14" t="str">
        <f>"0,5877"</f>
        <v>0,5877</v>
      </c>
      <c r="E132" s="14" t="s">
        <v>219</v>
      </c>
      <c r="F132" s="14" t="s">
        <v>215</v>
      </c>
      <c r="G132" s="15" t="s">
        <v>204</v>
      </c>
      <c r="H132" s="14" t="s">
        <v>491</v>
      </c>
      <c r="I132" s="15"/>
      <c r="J132" s="19">
        <v>195</v>
      </c>
      <c r="K132" s="14" t="str">
        <f>"114,6074"</f>
        <v>114,6074</v>
      </c>
      <c r="L132" s="14"/>
    </row>
    <row r="133" spans="1:12" ht="12.75">
      <c r="A133" s="14" t="s">
        <v>577</v>
      </c>
      <c r="B133" s="14" t="s">
        <v>610</v>
      </c>
      <c r="C133" s="14" t="s">
        <v>579</v>
      </c>
      <c r="D133" s="14" t="str">
        <f>"0,6015"</f>
        <v>0,6015</v>
      </c>
      <c r="E133" s="14" t="s">
        <v>49</v>
      </c>
      <c r="F133" s="14" t="s">
        <v>44</v>
      </c>
      <c r="G133" s="14" t="s">
        <v>228</v>
      </c>
      <c r="H133" s="14" t="s">
        <v>135</v>
      </c>
      <c r="I133" s="15"/>
      <c r="J133" s="19">
        <v>232.5</v>
      </c>
      <c r="K133" s="14" t="str">
        <f>"139,8384"</f>
        <v>139,8384</v>
      </c>
      <c r="L133" s="14"/>
    </row>
    <row r="134" spans="1:12" ht="12.75">
      <c r="A134" s="14" t="s">
        <v>611</v>
      </c>
      <c r="B134" s="14" t="s">
        <v>612</v>
      </c>
      <c r="C134" s="14" t="s">
        <v>613</v>
      </c>
      <c r="D134" s="14" t="str">
        <f>"0,6223"</f>
        <v>0,6223</v>
      </c>
      <c r="E134" s="14" t="s">
        <v>98</v>
      </c>
      <c r="F134" s="14" t="s">
        <v>211</v>
      </c>
      <c r="G134" s="14" t="s">
        <v>539</v>
      </c>
      <c r="H134" s="14" t="s">
        <v>124</v>
      </c>
      <c r="I134" s="15"/>
      <c r="J134" s="19">
        <v>227.5</v>
      </c>
      <c r="K134" s="14" t="str">
        <f>"141,5796"</f>
        <v>141,5796</v>
      </c>
      <c r="L134" s="14"/>
    </row>
    <row r="135" spans="1:12" ht="12.75">
      <c r="A135" s="14" t="s">
        <v>91</v>
      </c>
      <c r="B135" s="14" t="s">
        <v>92</v>
      </c>
      <c r="C135" s="14" t="s">
        <v>69</v>
      </c>
      <c r="D135" s="14" t="str">
        <f>"0,6008"</f>
        <v>0,6008</v>
      </c>
      <c r="E135" s="14" t="s">
        <v>21</v>
      </c>
      <c r="F135" s="14" t="s">
        <v>196</v>
      </c>
      <c r="G135" s="14" t="s">
        <v>27</v>
      </c>
      <c r="H135" s="15" t="s">
        <v>28</v>
      </c>
      <c r="I135" s="15"/>
      <c r="J135" s="19">
        <v>185</v>
      </c>
      <c r="K135" s="14" t="str">
        <f>"111,1388"</f>
        <v>111,1388</v>
      </c>
      <c r="L135" s="14"/>
    </row>
    <row r="136" spans="1:12" ht="12.75">
      <c r="A136" s="14" t="s">
        <v>614</v>
      </c>
      <c r="B136" s="14" t="s">
        <v>615</v>
      </c>
      <c r="C136" s="14" t="s">
        <v>616</v>
      </c>
      <c r="D136" s="14" t="str">
        <f>"0,5951"</f>
        <v>0,5951</v>
      </c>
      <c r="E136" s="14" t="s">
        <v>49</v>
      </c>
      <c r="F136" s="14" t="s">
        <v>202</v>
      </c>
      <c r="G136" s="14" t="s">
        <v>195</v>
      </c>
      <c r="H136" s="15" t="s">
        <v>196</v>
      </c>
      <c r="I136" s="15"/>
      <c r="J136" s="19">
        <v>165</v>
      </c>
      <c r="K136" s="14" t="str">
        <f>"98,1870"</f>
        <v>98,1870</v>
      </c>
      <c r="L136" s="14"/>
    </row>
    <row r="137" spans="1:12" ht="12.75">
      <c r="A137" s="14" t="s">
        <v>617</v>
      </c>
      <c r="B137" s="14" t="s">
        <v>618</v>
      </c>
      <c r="C137" s="14" t="s">
        <v>619</v>
      </c>
      <c r="D137" s="14" t="str">
        <f>"0,6121"</f>
        <v>0,6121</v>
      </c>
      <c r="E137" s="14" t="s">
        <v>49</v>
      </c>
      <c r="F137" s="15" t="s">
        <v>28</v>
      </c>
      <c r="G137" s="15" t="s">
        <v>28</v>
      </c>
      <c r="H137" s="15"/>
      <c r="I137" s="15"/>
      <c r="J137" s="19">
        <v>0</v>
      </c>
      <c r="K137" s="14" t="str">
        <f>"0,0000"</f>
        <v>0,0000</v>
      </c>
      <c r="L137" s="14"/>
    </row>
    <row r="138" spans="1:12" ht="12.75">
      <c r="A138" s="14" t="s">
        <v>620</v>
      </c>
      <c r="B138" s="14" t="s">
        <v>621</v>
      </c>
      <c r="C138" s="14" t="s">
        <v>622</v>
      </c>
      <c r="D138" s="14" t="str">
        <f>"0,6791"</f>
        <v>0,6791</v>
      </c>
      <c r="E138" s="14" t="s">
        <v>49</v>
      </c>
      <c r="F138" s="14" t="s">
        <v>623</v>
      </c>
      <c r="G138" s="14" t="s">
        <v>539</v>
      </c>
      <c r="H138" s="14" t="s">
        <v>124</v>
      </c>
      <c r="I138" s="15"/>
      <c r="J138" s="19">
        <v>227.5</v>
      </c>
      <c r="K138" s="14" t="str">
        <f>"154,4914"</f>
        <v>154,4914</v>
      </c>
      <c r="L138" s="14"/>
    </row>
    <row r="139" spans="1:12" ht="12.75">
      <c r="A139" s="14" t="s">
        <v>624</v>
      </c>
      <c r="B139" s="14" t="s">
        <v>625</v>
      </c>
      <c r="C139" s="14" t="s">
        <v>582</v>
      </c>
      <c r="D139" s="14" t="str">
        <f>"0,6916"</f>
        <v>0,6916</v>
      </c>
      <c r="E139" s="14" t="s">
        <v>49</v>
      </c>
      <c r="F139" s="14" t="s">
        <v>233</v>
      </c>
      <c r="G139" s="14" t="s">
        <v>202</v>
      </c>
      <c r="H139" s="15" t="s">
        <v>529</v>
      </c>
      <c r="I139" s="15"/>
      <c r="J139" s="19">
        <v>155</v>
      </c>
      <c r="K139" s="14" t="str">
        <f>"107,1939"</f>
        <v>107,1939</v>
      </c>
      <c r="L139" s="14"/>
    </row>
    <row r="140" spans="1:12" ht="12.75">
      <c r="A140" s="14" t="s">
        <v>626</v>
      </c>
      <c r="B140" s="14" t="s">
        <v>627</v>
      </c>
      <c r="C140" s="14" t="s">
        <v>97</v>
      </c>
      <c r="D140" s="14" t="str">
        <f>"0,7725"</f>
        <v>0,7725</v>
      </c>
      <c r="E140" s="14" t="s">
        <v>49</v>
      </c>
      <c r="F140" s="14" t="s">
        <v>202</v>
      </c>
      <c r="G140" s="14" t="s">
        <v>147</v>
      </c>
      <c r="H140" s="15" t="s">
        <v>195</v>
      </c>
      <c r="I140" s="15"/>
      <c r="J140" s="19">
        <v>160</v>
      </c>
      <c r="K140" s="14" t="str">
        <f>"123,6016"</f>
        <v>123,6016</v>
      </c>
      <c r="L140" s="14"/>
    </row>
    <row r="141" spans="1:12" ht="12.75">
      <c r="A141" s="14" t="s">
        <v>628</v>
      </c>
      <c r="B141" s="14" t="s">
        <v>629</v>
      </c>
      <c r="C141" s="14" t="s">
        <v>630</v>
      </c>
      <c r="D141" s="14" t="str">
        <f>"0,7702"</f>
        <v>0,7702</v>
      </c>
      <c r="E141" s="14" t="s">
        <v>49</v>
      </c>
      <c r="F141" s="14" t="s">
        <v>28</v>
      </c>
      <c r="G141" s="15" t="s">
        <v>586</v>
      </c>
      <c r="H141" s="15" t="s">
        <v>586</v>
      </c>
      <c r="I141" s="15"/>
      <c r="J141" s="19" t="s">
        <v>513</v>
      </c>
      <c r="K141" s="14" t="s">
        <v>631</v>
      </c>
      <c r="L141" s="14"/>
    </row>
    <row r="142" spans="1:12" ht="12.75">
      <c r="A142" s="14" t="s">
        <v>632</v>
      </c>
      <c r="B142" s="14" t="s">
        <v>633</v>
      </c>
      <c r="C142" s="14" t="s">
        <v>596</v>
      </c>
      <c r="D142" s="14" t="str">
        <f>"0,8408"</f>
        <v>0,8408</v>
      </c>
      <c r="E142" s="14" t="s">
        <v>49</v>
      </c>
      <c r="F142" s="14" t="s">
        <v>147</v>
      </c>
      <c r="G142" s="14" t="s">
        <v>196</v>
      </c>
      <c r="H142" s="15" t="s">
        <v>215</v>
      </c>
      <c r="I142" s="15"/>
      <c r="J142" s="19">
        <v>170</v>
      </c>
      <c r="K142" s="14" t="str">
        <f>"142,9340"</f>
        <v>142,9340</v>
      </c>
      <c r="L142" s="14"/>
    </row>
    <row r="143" spans="1:12" ht="12.75">
      <c r="A143" s="11" t="s">
        <v>95</v>
      </c>
      <c r="B143" s="11" t="s">
        <v>96</v>
      </c>
      <c r="C143" s="11" t="s">
        <v>97</v>
      </c>
      <c r="D143" s="11" t="str">
        <f>"1,0579"</f>
        <v>1,0579</v>
      </c>
      <c r="E143" s="11" t="s">
        <v>98</v>
      </c>
      <c r="F143" s="11" t="s">
        <v>99</v>
      </c>
      <c r="G143" s="12"/>
      <c r="H143" s="12"/>
      <c r="I143" s="12"/>
      <c r="J143" s="18" t="s">
        <v>100</v>
      </c>
      <c r="K143" s="11" t="s">
        <v>101</v>
      </c>
      <c r="L143" s="11"/>
    </row>
    <row r="145" spans="1:11" ht="15">
      <c r="A145" s="48" t="s">
        <v>102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2" ht="12.75">
      <c r="A146" s="9" t="s">
        <v>634</v>
      </c>
      <c r="B146" s="9" t="s">
        <v>635</v>
      </c>
      <c r="C146" s="9" t="s">
        <v>636</v>
      </c>
      <c r="D146" s="9" t="str">
        <f>"0,5566"</f>
        <v>0,5566</v>
      </c>
      <c r="E146" s="9" t="s">
        <v>49</v>
      </c>
      <c r="F146" s="9" t="s">
        <v>198</v>
      </c>
      <c r="G146" s="10"/>
      <c r="H146" s="10"/>
      <c r="I146" s="10"/>
      <c r="J146" s="17">
        <v>150</v>
      </c>
      <c r="K146" s="9" t="str">
        <f>"83,4975"</f>
        <v>83,4975</v>
      </c>
      <c r="L146" s="9"/>
    </row>
    <row r="147" spans="1:12" ht="12.75">
      <c r="A147" s="14" t="s">
        <v>637</v>
      </c>
      <c r="B147" s="14" t="s">
        <v>638</v>
      </c>
      <c r="C147" s="14" t="s">
        <v>639</v>
      </c>
      <c r="D147" s="14" t="str">
        <f>"0,5508"</f>
        <v>0,5508</v>
      </c>
      <c r="E147" s="14" t="s">
        <v>49</v>
      </c>
      <c r="F147" s="14" t="s">
        <v>44</v>
      </c>
      <c r="G147" s="14" t="s">
        <v>211</v>
      </c>
      <c r="H147" s="14" t="s">
        <v>539</v>
      </c>
      <c r="I147" s="15"/>
      <c r="J147" s="19">
        <v>222.5</v>
      </c>
      <c r="K147" s="14" t="str">
        <f>"122,5641"</f>
        <v>122,5641</v>
      </c>
      <c r="L147" s="14"/>
    </row>
    <row r="148" spans="1:12" ht="12.75">
      <c r="A148" s="14" t="s">
        <v>640</v>
      </c>
      <c r="B148" s="14" t="s">
        <v>641</v>
      </c>
      <c r="C148" s="14" t="s">
        <v>105</v>
      </c>
      <c r="D148" s="14" t="str">
        <f>"0,5566"</f>
        <v>0,5566</v>
      </c>
      <c r="E148" s="14" t="s">
        <v>49</v>
      </c>
      <c r="F148" s="14" t="s">
        <v>44</v>
      </c>
      <c r="G148" s="14" t="s">
        <v>212</v>
      </c>
      <c r="H148" s="15" t="s">
        <v>539</v>
      </c>
      <c r="I148" s="15"/>
      <c r="J148" s="19">
        <v>217.5</v>
      </c>
      <c r="K148" s="14" t="str">
        <f>"121,0496"</f>
        <v>121,0496</v>
      </c>
      <c r="L148" s="14"/>
    </row>
    <row r="149" spans="1:12" ht="12.75">
      <c r="A149" s="14" t="s">
        <v>254</v>
      </c>
      <c r="B149" s="14" t="s">
        <v>258</v>
      </c>
      <c r="C149" s="14" t="s">
        <v>255</v>
      </c>
      <c r="D149" s="14" t="str">
        <f>"0,5645"</f>
        <v>0,5645</v>
      </c>
      <c r="E149" s="14" t="s">
        <v>49</v>
      </c>
      <c r="F149" s="14" t="s">
        <v>593</v>
      </c>
      <c r="G149" s="14" t="s">
        <v>586</v>
      </c>
      <c r="H149" s="15"/>
      <c r="I149" s="15"/>
      <c r="J149" s="19">
        <v>207.5</v>
      </c>
      <c r="K149" s="14" t="str">
        <f>"117,1271"</f>
        <v>117,1271</v>
      </c>
      <c r="L149" s="14"/>
    </row>
    <row r="150" spans="1:12" ht="12.75">
      <c r="A150" s="14" t="s">
        <v>642</v>
      </c>
      <c r="B150" s="14" t="s">
        <v>643</v>
      </c>
      <c r="C150" s="14" t="s">
        <v>644</v>
      </c>
      <c r="D150" s="14" t="str">
        <f>"0,5617"</f>
        <v>0,5617</v>
      </c>
      <c r="E150" s="14" t="s">
        <v>49</v>
      </c>
      <c r="F150" s="14" t="s">
        <v>141</v>
      </c>
      <c r="G150" s="14" t="s">
        <v>28</v>
      </c>
      <c r="H150" s="14" t="s">
        <v>593</v>
      </c>
      <c r="I150" s="15"/>
      <c r="J150" s="19">
        <v>202.5</v>
      </c>
      <c r="K150" s="14" t="str">
        <f>"113,7368"</f>
        <v>113,7368</v>
      </c>
      <c r="L150" s="14"/>
    </row>
    <row r="151" spans="1:12" ht="12.75">
      <c r="A151" s="14" t="s">
        <v>259</v>
      </c>
      <c r="B151" s="14" t="s">
        <v>260</v>
      </c>
      <c r="C151" s="14" t="s">
        <v>261</v>
      </c>
      <c r="D151" s="14" t="str">
        <f>"0,5653"</f>
        <v>0,5653</v>
      </c>
      <c r="E151" s="14" t="s">
        <v>32</v>
      </c>
      <c r="F151" s="14" t="s">
        <v>140</v>
      </c>
      <c r="G151" s="14" t="s">
        <v>28</v>
      </c>
      <c r="H151" s="15" t="s">
        <v>586</v>
      </c>
      <c r="I151" s="15"/>
      <c r="J151" s="19">
        <v>200</v>
      </c>
      <c r="K151" s="14" t="str">
        <f>"113,0695"</f>
        <v>113,0695</v>
      </c>
      <c r="L151" s="14"/>
    </row>
    <row r="152" spans="1:12" ht="12.75">
      <c r="A152" s="14" t="s">
        <v>645</v>
      </c>
      <c r="B152" s="14" t="s">
        <v>646</v>
      </c>
      <c r="C152" s="14" t="s">
        <v>647</v>
      </c>
      <c r="D152" s="14" t="str">
        <f>"0,5529"</f>
        <v>0,5529</v>
      </c>
      <c r="E152" s="14" t="s">
        <v>49</v>
      </c>
      <c r="F152" s="14" t="s">
        <v>491</v>
      </c>
      <c r="G152" s="15" t="s">
        <v>593</v>
      </c>
      <c r="H152" s="15" t="s">
        <v>593</v>
      </c>
      <c r="I152" s="15"/>
      <c r="J152" s="19" t="s">
        <v>648</v>
      </c>
      <c r="K152" s="14" t="s">
        <v>649</v>
      </c>
      <c r="L152" s="14"/>
    </row>
    <row r="153" spans="1:12" ht="12.75">
      <c r="A153" s="14" t="s">
        <v>650</v>
      </c>
      <c r="B153" s="14" t="s">
        <v>651</v>
      </c>
      <c r="C153" s="14" t="s">
        <v>262</v>
      </c>
      <c r="D153" s="14" t="str">
        <f>"0,6042"</f>
        <v>0,6042</v>
      </c>
      <c r="E153" s="14" t="s">
        <v>49</v>
      </c>
      <c r="F153" s="14" t="s">
        <v>141</v>
      </c>
      <c r="G153" s="14" t="s">
        <v>28</v>
      </c>
      <c r="H153" s="14" t="s">
        <v>44</v>
      </c>
      <c r="I153" s="15"/>
      <c r="J153" s="19">
        <v>210</v>
      </c>
      <c r="K153" s="14" t="str">
        <f>"126,8763"</f>
        <v>126,8763</v>
      </c>
      <c r="L153" s="14"/>
    </row>
    <row r="154" spans="1:12" ht="12.75">
      <c r="A154" s="14" t="s">
        <v>652</v>
      </c>
      <c r="B154" s="14" t="s">
        <v>653</v>
      </c>
      <c r="C154" s="14" t="s">
        <v>654</v>
      </c>
      <c r="D154" s="14" t="str">
        <f>"0,5827"</f>
        <v>0,5827</v>
      </c>
      <c r="E154" s="14" t="s">
        <v>49</v>
      </c>
      <c r="F154" s="14" t="s">
        <v>141</v>
      </c>
      <c r="G154" s="14" t="s">
        <v>28</v>
      </c>
      <c r="H154" s="14" t="s">
        <v>586</v>
      </c>
      <c r="I154" s="15"/>
      <c r="J154" s="19">
        <v>207.5</v>
      </c>
      <c r="K154" s="14" t="str">
        <f>"120,9054"</f>
        <v>120,9054</v>
      </c>
      <c r="L154" s="14"/>
    </row>
    <row r="155" spans="1:12" ht="12.75">
      <c r="A155" s="14" t="s">
        <v>103</v>
      </c>
      <c r="B155" s="14" t="s">
        <v>116</v>
      </c>
      <c r="C155" s="14" t="s">
        <v>105</v>
      </c>
      <c r="D155" s="14" t="str">
        <f>"0,6022"</f>
        <v>0,6022</v>
      </c>
      <c r="E155" s="14" t="s">
        <v>49</v>
      </c>
      <c r="F155" s="14" t="s">
        <v>141</v>
      </c>
      <c r="G155" s="14" t="s">
        <v>593</v>
      </c>
      <c r="H155" s="15" t="s">
        <v>44</v>
      </c>
      <c r="I155" s="15"/>
      <c r="J155" s="19">
        <v>202.5</v>
      </c>
      <c r="K155" s="14" t="str">
        <f>"121,9429"</f>
        <v>121,9429</v>
      </c>
      <c r="L155" s="14"/>
    </row>
    <row r="156" spans="1:12" ht="12.75">
      <c r="A156" s="14" t="s">
        <v>655</v>
      </c>
      <c r="B156" s="14" t="s">
        <v>656</v>
      </c>
      <c r="C156" s="14" t="s">
        <v>657</v>
      </c>
      <c r="D156" s="14" t="str">
        <f>"0,5826"</f>
        <v>0,5826</v>
      </c>
      <c r="E156" s="14" t="s">
        <v>49</v>
      </c>
      <c r="F156" s="14" t="s">
        <v>147</v>
      </c>
      <c r="G156" s="14" t="s">
        <v>196</v>
      </c>
      <c r="H156" s="14" t="s">
        <v>437</v>
      </c>
      <c r="I156" s="15"/>
      <c r="J156" s="19">
        <v>177.5</v>
      </c>
      <c r="K156" s="14" t="str">
        <f>"103,4104"</f>
        <v>103,4104</v>
      </c>
      <c r="L156" s="14"/>
    </row>
    <row r="157" spans="1:12" ht="12.75">
      <c r="A157" s="14" t="s">
        <v>658</v>
      </c>
      <c r="B157" s="14" t="s">
        <v>659</v>
      </c>
      <c r="C157" s="14" t="s">
        <v>660</v>
      </c>
      <c r="D157" s="14" t="str">
        <f>"0,5930"</f>
        <v>0,5930</v>
      </c>
      <c r="E157" s="14" t="s">
        <v>227</v>
      </c>
      <c r="F157" s="14" t="s">
        <v>147</v>
      </c>
      <c r="G157" s="14" t="s">
        <v>196</v>
      </c>
      <c r="H157" s="15" t="s">
        <v>140</v>
      </c>
      <c r="I157" s="15"/>
      <c r="J157" s="19">
        <v>170</v>
      </c>
      <c r="K157" s="14" t="str">
        <f>"100,8037"</f>
        <v>100,8037</v>
      </c>
      <c r="L157" s="14"/>
    </row>
    <row r="158" spans="1:12" ht="12.75">
      <c r="A158" s="14" t="s">
        <v>661</v>
      </c>
      <c r="B158" s="14" t="s">
        <v>662</v>
      </c>
      <c r="C158" s="14" t="s">
        <v>663</v>
      </c>
      <c r="D158" s="14" t="str">
        <f>"0,6139"</f>
        <v>0,6139</v>
      </c>
      <c r="E158" s="14" t="s">
        <v>49</v>
      </c>
      <c r="F158" s="14" t="s">
        <v>147</v>
      </c>
      <c r="G158" s="14" t="s">
        <v>196</v>
      </c>
      <c r="H158" s="15" t="s">
        <v>215</v>
      </c>
      <c r="I158" s="15"/>
      <c r="J158" s="19">
        <v>170</v>
      </c>
      <c r="K158" s="14" t="str">
        <f>"104,3691"</f>
        <v>104,3691</v>
      </c>
      <c r="L158" s="14"/>
    </row>
    <row r="159" spans="1:12" ht="12.75">
      <c r="A159" s="14" t="s">
        <v>664</v>
      </c>
      <c r="B159" s="14" t="s">
        <v>665</v>
      </c>
      <c r="C159" s="14" t="s">
        <v>666</v>
      </c>
      <c r="D159" s="14" t="str">
        <f>"0,6672"</f>
        <v>0,6672</v>
      </c>
      <c r="E159" s="14" t="s">
        <v>49</v>
      </c>
      <c r="F159" s="14" t="s">
        <v>193</v>
      </c>
      <c r="G159" s="14" t="s">
        <v>194</v>
      </c>
      <c r="H159" s="14" t="s">
        <v>564</v>
      </c>
      <c r="I159" s="15"/>
      <c r="J159" s="19">
        <v>142.5</v>
      </c>
      <c r="K159" s="14" t="str">
        <f>"95,0755"</f>
        <v>95,0755</v>
      </c>
      <c r="L159" s="14"/>
    </row>
    <row r="160" spans="1:12" ht="12.75">
      <c r="A160" s="11" t="s">
        <v>667</v>
      </c>
      <c r="B160" s="11" t="s">
        <v>668</v>
      </c>
      <c r="C160" s="11" t="s">
        <v>669</v>
      </c>
      <c r="D160" s="11" t="str">
        <f>"0,6796"</f>
        <v>0,6796</v>
      </c>
      <c r="E160" s="11" t="s">
        <v>49</v>
      </c>
      <c r="F160" s="11" t="s">
        <v>28</v>
      </c>
      <c r="G160" s="12" t="s">
        <v>44</v>
      </c>
      <c r="H160" s="12" t="s">
        <v>44</v>
      </c>
      <c r="I160" s="12"/>
      <c r="J160" s="18" t="s">
        <v>513</v>
      </c>
      <c r="K160" s="11" t="s">
        <v>670</v>
      </c>
      <c r="L160" s="11"/>
    </row>
    <row r="162" spans="1:11" ht="15">
      <c r="A162" s="48" t="s">
        <v>125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2" ht="12.75">
      <c r="A163" s="9" t="s">
        <v>671</v>
      </c>
      <c r="B163" s="9" t="s">
        <v>672</v>
      </c>
      <c r="C163" s="9" t="s">
        <v>673</v>
      </c>
      <c r="D163" s="9" t="str">
        <f>"0,5378"</f>
        <v>0,5378</v>
      </c>
      <c r="E163" s="9" t="s">
        <v>109</v>
      </c>
      <c r="F163" s="9" t="s">
        <v>211</v>
      </c>
      <c r="G163" s="9" t="s">
        <v>228</v>
      </c>
      <c r="H163" s="10" t="s">
        <v>88</v>
      </c>
      <c r="I163" s="10"/>
      <c r="J163" s="17">
        <v>225</v>
      </c>
      <c r="K163" s="9" t="str">
        <f>"120,9960"</f>
        <v>120,9960</v>
      </c>
      <c r="L163" s="9"/>
    </row>
    <row r="164" spans="1:12" ht="12.75">
      <c r="A164" s="14" t="s">
        <v>674</v>
      </c>
      <c r="B164" s="14" t="s">
        <v>675</v>
      </c>
      <c r="C164" s="14" t="s">
        <v>676</v>
      </c>
      <c r="D164" s="14" t="str">
        <f>"0,5331"</f>
        <v>0,5331</v>
      </c>
      <c r="E164" s="14" t="s">
        <v>32</v>
      </c>
      <c r="F164" s="14" t="s">
        <v>140</v>
      </c>
      <c r="G164" s="14" t="s">
        <v>141</v>
      </c>
      <c r="H164" s="14" t="s">
        <v>593</v>
      </c>
      <c r="I164" s="15"/>
      <c r="J164" s="19">
        <v>202.5</v>
      </c>
      <c r="K164" s="14" t="str">
        <f>"107,9487"</f>
        <v>107,9487</v>
      </c>
      <c r="L164" s="14"/>
    </row>
    <row r="165" spans="1:12" ht="12.75">
      <c r="A165" s="14" t="s">
        <v>264</v>
      </c>
      <c r="B165" s="14" t="s">
        <v>265</v>
      </c>
      <c r="C165" s="14" t="s">
        <v>266</v>
      </c>
      <c r="D165" s="14" t="str">
        <f>"0,5406"</f>
        <v>0,5406</v>
      </c>
      <c r="E165" s="14" t="s">
        <v>49</v>
      </c>
      <c r="F165" s="14" t="s">
        <v>196</v>
      </c>
      <c r="G165" s="14" t="s">
        <v>215</v>
      </c>
      <c r="H165" s="15" t="s">
        <v>204</v>
      </c>
      <c r="I165" s="15"/>
      <c r="J165" s="19">
        <v>175</v>
      </c>
      <c r="K165" s="14" t="str">
        <f>"94,6050"</f>
        <v>94,6050</v>
      </c>
      <c r="L165" s="14"/>
    </row>
    <row r="166" spans="1:12" ht="12.75">
      <c r="A166" s="14" t="s">
        <v>677</v>
      </c>
      <c r="B166" s="14" t="s">
        <v>678</v>
      </c>
      <c r="C166" s="14" t="s">
        <v>679</v>
      </c>
      <c r="D166" s="14" t="str">
        <f>"0,5373"</f>
        <v>0,5373</v>
      </c>
      <c r="E166" s="14" t="s">
        <v>49</v>
      </c>
      <c r="F166" s="14" t="s">
        <v>226</v>
      </c>
      <c r="G166" s="15" t="s">
        <v>124</v>
      </c>
      <c r="H166" s="15" t="s">
        <v>124</v>
      </c>
      <c r="I166" s="15"/>
      <c r="J166" s="19" t="s">
        <v>680</v>
      </c>
      <c r="K166" s="14" t="s">
        <v>681</v>
      </c>
      <c r="L166" s="14" t="s">
        <v>682</v>
      </c>
    </row>
    <row r="167" spans="1:12" ht="12.75">
      <c r="A167" s="14" t="s">
        <v>267</v>
      </c>
      <c r="B167" s="14" t="s">
        <v>268</v>
      </c>
      <c r="C167" s="14" t="s">
        <v>269</v>
      </c>
      <c r="D167" s="14" t="str">
        <f>"0,5596"</f>
        <v>0,5596</v>
      </c>
      <c r="E167" s="14" t="s">
        <v>49</v>
      </c>
      <c r="F167" s="14" t="s">
        <v>204</v>
      </c>
      <c r="G167" s="14" t="s">
        <v>141</v>
      </c>
      <c r="H167" s="14" t="s">
        <v>491</v>
      </c>
      <c r="I167" s="15"/>
      <c r="J167" s="19">
        <v>195</v>
      </c>
      <c r="K167" s="14" t="str">
        <f>"109,1312"</f>
        <v>109,1312</v>
      </c>
      <c r="L167" s="14"/>
    </row>
    <row r="168" spans="1:12" ht="12.75">
      <c r="A168" s="14" t="s">
        <v>671</v>
      </c>
      <c r="B168" s="14" t="s">
        <v>683</v>
      </c>
      <c r="C168" s="14" t="s">
        <v>673</v>
      </c>
      <c r="D168" s="14" t="str">
        <f>"0,5673"</f>
        <v>0,5673</v>
      </c>
      <c r="E168" s="14" t="s">
        <v>109</v>
      </c>
      <c r="F168" s="14" t="s">
        <v>211</v>
      </c>
      <c r="G168" s="14" t="s">
        <v>228</v>
      </c>
      <c r="H168" s="15" t="s">
        <v>88</v>
      </c>
      <c r="I168" s="15"/>
      <c r="J168" s="19">
        <v>225</v>
      </c>
      <c r="K168" s="14" t="str">
        <f>"127,6508"</f>
        <v>127,6508</v>
      </c>
      <c r="L168" s="14"/>
    </row>
    <row r="169" spans="1:12" ht="12.75">
      <c r="A169" s="11" t="s">
        <v>674</v>
      </c>
      <c r="B169" s="11" t="s">
        <v>684</v>
      </c>
      <c r="C169" s="11" t="s">
        <v>676</v>
      </c>
      <c r="D169" s="11" t="str">
        <f>"0,5848"</f>
        <v>0,5848</v>
      </c>
      <c r="E169" s="11" t="s">
        <v>32</v>
      </c>
      <c r="F169" s="11" t="s">
        <v>140</v>
      </c>
      <c r="G169" s="11" t="s">
        <v>141</v>
      </c>
      <c r="H169" s="11" t="s">
        <v>593</v>
      </c>
      <c r="I169" s="12"/>
      <c r="J169" s="18">
        <v>202.5</v>
      </c>
      <c r="K169" s="11" t="str">
        <f>"118,4197"</f>
        <v>118,4197</v>
      </c>
      <c r="L169" s="11"/>
    </row>
    <row r="171" spans="1:11" ht="15">
      <c r="A171" s="48" t="s">
        <v>136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2" ht="12.75">
      <c r="A172" s="9" t="s">
        <v>685</v>
      </c>
      <c r="B172" s="9" t="s">
        <v>686</v>
      </c>
      <c r="C172" s="9" t="s">
        <v>687</v>
      </c>
      <c r="D172" s="9" t="str">
        <f>"0,5217"</f>
        <v>0,5217</v>
      </c>
      <c r="E172" s="9" t="s">
        <v>688</v>
      </c>
      <c r="F172" s="10" t="s">
        <v>33</v>
      </c>
      <c r="G172" s="10" t="s">
        <v>33</v>
      </c>
      <c r="H172" s="10" t="s">
        <v>33</v>
      </c>
      <c r="I172" s="10"/>
      <c r="J172" s="17">
        <v>0</v>
      </c>
      <c r="K172" s="9" t="str">
        <f>"0,0000"</f>
        <v>0,0000</v>
      </c>
      <c r="L172" s="9"/>
    </row>
    <row r="173" spans="1:12" ht="12.75">
      <c r="A173" s="14" t="s">
        <v>689</v>
      </c>
      <c r="B173" s="14" t="s">
        <v>690</v>
      </c>
      <c r="C173" s="14" t="s">
        <v>691</v>
      </c>
      <c r="D173" s="14" t="str">
        <f>"0,5387"</f>
        <v>0,5387</v>
      </c>
      <c r="E173" s="14" t="s">
        <v>49</v>
      </c>
      <c r="F173" s="14" t="s">
        <v>141</v>
      </c>
      <c r="G173" s="14" t="s">
        <v>406</v>
      </c>
      <c r="H173" s="14" t="s">
        <v>492</v>
      </c>
      <c r="I173" s="15"/>
      <c r="J173" s="19">
        <v>197.5</v>
      </c>
      <c r="K173" s="14" t="str">
        <f>"106,3938"</f>
        <v>106,3938</v>
      </c>
      <c r="L173" s="14"/>
    </row>
    <row r="174" spans="1:12" ht="12.75">
      <c r="A174" s="11" t="s">
        <v>692</v>
      </c>
      <c r="B174" s="11" t="s">
        <v>693</v>
      </c>
      <c r="C174" s="11" t="s">
        <v>694</v>
      </c>
      <c r="D174" s="11" t="str">
        <f>"0,6621"</f>
        <v>0,6621</v>
      </c>
      <c r="E174" s="11" t="s">
        <v>49</v>
      </c>
      <c r="F174" s="11" t="s">
        <v>198</v>
      </c>
      <c r="G174" s="12" t="s">
        <v>147</v>
      </c>
      <c r="H174" s="12" t="s">
        <v>147</v>
      </c>
      <c r="I174" s="12"/>
      <c r="J174" s="18" t="s">
        <v>246</v>
      </c>
      <c r="K174" s="11" t="s">
        <v>695</v>
      </c>
      <c r="L174" s="11"/>
    </row>
    <row r="176" ht="15">
      <c r="E176" s="20" t="s">
        <v>148</v>
      </c>
    </row>
    <row r="177" ht="15">
      <c r="E177" s="20" t="s">
        <v>149</v>
      </c>
    </row>
    <row r="178" ht="15">
      <c r="E178" s="20" t="s">
        <v>150</v>
      </c>
    </row>
    <row r="179" ht="12.75">
      <c r="E179" s="6" t="s">
        <v>151</v>
      </c>
    </row>
    <row r="180" ht="12.75">
      <c r="E180" s="6" t="s">
        <v>152</v>
      </c>
    </row>
    <row r="181" ht="12.75">
      <c r="E181" s="6" t="s">
        <v>153</v>
      </c>
    </row>
    <row r="184" spans="1:2" ht="18">
      <c r="A184" s="21" t="s">
        <v>154</v>
      </c>
      <c r="B184" s="21"/>
    </row>
    <row r="185" spans="1:2" ht="15">
      <c r="A185" s="22" t="s">
        <v>270</v>
      </c>
      <c r="B185" s="22"/>
    </row>
    <row r="186" spans="1:2" ht="14.25">
      <c r="A186" s="23" t="s">
        <v>271</v>
      </c>
      <c r="B186" s="24"/>
    </row>
    <row r="187" spans="1:5" ht="15">
      <c r="A187" s="25" t="s">
        <v>1</v>
      </c>
      <c r="B187" s="25" t="s">
        <v>157</v>
      </c>
      <c r="C187" s="25" t="s">
        <v>158</v>
      </c>
      <c r="D187" s="25" t="s">
        <v>7</v>
      </c>
      <c r="E187" s="25" t="s">
        <v>159</v>
      </c>
    </row>
    <row r="188" spans="1:5" ht="12.75">
      <c r="A188" s="26" t="s">
        <v>317</v>
      </c>
      <c r="B188" s="6" t="s">
        <v>272</v>
      </c>
      <c r="C188" s="6" t="s">
        <v>273</v>
      </c>
      <c r="D188" s="6" t="s">
        <v>321</v>
      </c>
      <c r="E188" s="27" t="s">
        <v>696</v>
      </c>
    </row>
    <row r="190" spans="1:2" ht="14.25">
      <c r="A190" s="23" t="s">
        <v>156</v>
      </c>
      <c r="B190" s="24"/>
    </row>
    <row r="191" spans="1:5" ht="15">
      <c r="A191" s="25" t="s">
        <v>1</v>
      </c>
      <c r="B191" s="25" t="s">
        <v>157</v>
      </c>
      <c r="C191" s="25" t="s">
        <v>158</v>
      </c>
      <c r="D191" s="25" t="s">
        <v>7</v>
      </c>
      <c r="E191" s="25" t="s">
        <v>159</v>
      </c>
    </row>
    <row r="192" spans="1:5" ht="12.75">
      <c r="A192" s="26" t="s">
        <v>344</v>
      </c>
      <c r="B192" s="6" t="s">
        <v>156</v>
      </c>
      <c r="C192" s="6" t="s">
        <v>277</v>
      </c>
      <c r="D192" s="6" t="s">
        <v>193</v>
      </c>
      <c r="E192" s="27" t="s">
        <v>697</v>
      </c>
    </row>
    <row r="193" spans="1:5" ht="12.75">
      <c r="A193" s="26" t="s">
        <v>306</v>
      </c>
      <c r="B193" s="6" t="s">
        <v>156</v>
      </c>
      <c r="C193" s="6" t="s">
        <v>296</v>
      </c>
      <c r="D193" s="6" t="s">
        <v>221</v>
      </c>
      <c r="E193" s="27" t="s">
        <v>698</v>
      </c>
    </row>
    <row r="194" spans="1:5" ht="12.75">
      <c r="A194" s="26" t="s">
        <v>347</v>
      </c>
      <c r="B194" s="6" t="s">
        <v>156</v>
      </c>
      <c r="C194" s="6" t="s">
        <v>277</v>
      </c>
      <c r="D194" s="6" t="s">
        <v>351</v>
      </c>
      <c r="E194" s="27" t="s">
        <v>699</v>
      </c>
    </row>
    <row r="195" spans="1:5" ht="12.75">
      <c r="A195" s="26" t="s">
        <v>327</v>
      </c>
      <c r="B195" s="6" t="s">
        <v>156</v>
      </c>
      <c r="C195" s="6" t="s">
        <v>273</v>
      </c>
      <c r="D195" s="6" t="s">
        <v>288</v>
      </c>
      <c r="E195" s="27" t="s">
        <v>700</v>
      </c>
    </row>
    <row r="196" spans="1:5" ht="12.75">
      <c r="A196" s="26" t="s">
        <v>352</v>
      </c>
      <c r="B196" s="6" t="s">
        <v>156</v>
      </c>
      <c r="C196" s="6" t="s">
        <v>277</v>
      </c>
      <c r="D196" s="6" t="s">
        <v>190</v>
      </c>
      <c r="E196" s="27" t="s">
        <v>701</v>
      </c>
    </row>
    <row r="197" spans="1:5" ht="12.75">
      <c r="A197" s="26" t="s">
        <v>299</v>
      </c>
      <c r="B197" s="6" t="s">
        <v>156</v>
      </c>
      <c r="C197" s="6" t="s">
        <v>297</v>
      </c>
      <c r="D197" s="6" t="s">
        <v>304</v>
      </c>
      <c r="E197" s="27" t="s">
        <v>702</v>
      </c>
    </row>
    <row r="198" spans="1:5" ht="12.75">
      <c r="A198" s="26" t="s">
        <v>355</v>
      </c>
      <c r="B198" s="6" t="s">
        <v>156</v>
      </c>
      <c r="C198" s="6" t="s">
        <v>277</v>
      </c>
      <c r="D198" s="6" t="s">
        <v>288</v>
      </c>
      <c r="E198" s="27" t="s">
        <v>703</v>
      </c>
    </row>
    <row r="199" spans="1:5" ht="12.75">
      <c r="A199" s="26" t="s">
        <v>361</v>
      </c>
      <c r="B199" s="6" t="s">
        <v>156</v>
      </c>
      <c r="C199" s="6" t="s">
        <v>164</v>
      </c>
      <c r="D199" s="6" t="s">
        <v>16</v>
      </c>
      <c r="E199" s="27" t="s">
        <v>704</v>
      </c>
    </row>
    <row r="200" spans="1:5" ht="12.75">
      <c r="A200" s="26" t="s">
        <v>330</v>
      </c>
      <c r="B200" s="6" t="s">
        <v>156</v>
      </c>
      <c r="C200" s="6" t="s">
        <v>273</v>
      </c>
      <c r="D200" s="6" t="s">
        <v>322</v>
      </c>
      <c r="E200" s="27" t="s">
        <v>705</v>
      </c>
    </row>
    <row r="201" spans="1:5" ht="12.75">
      <c r="A201" s="26" t="s">
        <v>317</v>
      </c>
      <c r="B201" s="6" t="s">
        <v>156</v>
      </c>
      <c r="C201" s="6" t="s">
        <v>273</v>
      </c>
      <c r="D201" s="6" t="s">
        <v>321</v>
      </c>
      <c r="E201" s="27" t="s">
        <v>696</v>
      </c>
    </row>
    <row r="203" spans="1:2" ht="14.25">
      <c r="A203" s="23" t="s">
        <v>178</v>
      </c>
      <c r="B203" s="24"/>
    </row>
    <row r="204" spans="1:5" ht="15">
      <c r="A204" s="25" t="s">
        <v>1</v>
      </c>
      <c r="B204" s="25" t="s">
        <v>157</v>
      </c>
      <c r="C204" s="25" t="s">
        <v>158</v>
      </c>
      <c r="D204" s="25" t="s">
        <v>7</v>
      </c>
      <c r="E204" s="25" t="s">
        <v>159</v>
      </c>
    </row>
    <row r="205" spans="1:5" ht="12.75">
      <c r="A205" s="26" t="s">
        <v>358</v>
      </c>
      <c r="B205" s="6" t="s">
        <v>187</v>
      </c>
      <c r="C205" s="6" t="s">
        <v>277</v>
      </c>
      <c r="D205" s="6" t="s">
        <v>190</v>
      </c>
      <c r="E205" s="27" t="s">
        <v>706</v>
      </c>
    </row>
    <row r="206" spans="1:5" ht="12.75">
      <c r="A206" s="26" t="s">
        <v>309</v>
      </c>
      <c r="B206" s="6" t="s">
        <v>179</v>
      </c>
      <c r="C206" s="6" t="s">
        <v>296</v>
      </c>
      <c r="D206" s="6" t="s">
        <v>287</v>
      </c>
      <c r="E206" s="27" t="s">
        <v>707</v>
      </c>
    </row>
    <row r="207" spans="1:5" ht="12.75">
      <c r="A207" s="26" t="s">
        <v>327</v>
      </c>
      <c r="B207" s="6" t="s">
        <v>279</v>
      </c>
      <c r="C207" s="6" t="s">
        <v>273</v>
      </c>
      <c r="D207" s="6" t="s">
        <v>288</v>
      </c>
      <c r="E207" s="27" t="s">
        <v>700</v>
      </c>
    </row>
    <row r="208" spans="1:5" ht="12.75">
      <c r="A208" s="26" t="s">
        <v>338</v>
      </c>
      <c r="B208" s="6" t="s">
        <v>282</v>
      </c>
      <c r="C208" s="6" t="s">
        <v>273</v>
      </c>
      <c r="D208" s="6" t="s">
        <v>110</v>
      </c>
      <c r="E208" s="27" t="s">
        <v>708</v>
      </c>
    </row>
    <row r="209" spans="1:5" ht="12.75">
      <c r="A209" s="26" t="s">
        <v>205</v>
      </c>
      <c r="B209" s="6" t="s">
        <v>276</v>
      </c>
      <c r="C209" s="6" t="s">
        <v>277</v>
      </c>
      <c r="D209" s="6" t="s">
        <v>303</v>
      </c>
      <c r="E209" s="27" t="s">
        <v>709</v>
      </c>
    </row>
    <row r="210" spans="1:5" ht="12.75">
      <c r="A210" s="26" t="s">
        <v>199</v>
      </c>
      <c r="B210" s="6" t="s">
        <v>279</v>
      </c>
      <c r="C210" s="6" t="s">
        <v>277</v>
      </c>
      <c r="D210" s="6" t="s">
        <v>220</v>
      </c>
      <c r="E210" s="27" t="s">
        <v>710</v>
      </c>
    </row>
    <row r="211" spans="1:5" ht="12.75">
      <c r="A211" s="26" t="s">
        <v>312</v>
      </c>
      <c r="B211" s="6" t="s">
        <v>187</v>
      </c>
      <c r="C211" s="6" t="s">
        <v>296</v>
      </c>
      <c r="D211" s="6" t="s">
        <v>315</v>
      </c>
      <c r="E211" s="27" t="s">
        <v>711</v>
      </c>
    </row>
    <row r="214" spans="1:2" ht="15">
      <c r="A214" s="22" t="s">
        <v>155</v>
      </c>
      <c r="B214" s="22"/>
    </row>
    <row r="215" spans="1:2" ht="14.25">
      <c r="A215" s="23" t="s">
        <v>271</v>
      </c>
      <c r="B215" s="24"/>
    </row>
    <row r="216" spans="1:5" ht="15">
      <c r="A216" s="25" t="s">
        <v>1</v>
      </c>
      <c r="B216" s="25" t="s">
        <v>157</v>
      </c>
      <c r="C216" s="25" t="s">
        <v>158</v>
      </c>
      <c r="D216" s="25" t="s">
        <v>7</v>
      </c>
      <c r="E216" s="25" t="s">
        <v>159</v>
      </c>
    </row>
    <row r="217" spans="1:5" ht="12.75">
      <c r="A217" s="26" t="s">
        <v>430</v>
      </c>
      <c r="B217" s="6" t="s">
        <v>272</v>
      </c>
      <c r="C217" s="6" t="s">
        <v>164</v>
      </c>
      <c r="D217" s="6" t="s">
        <v>27</v>
      </c>
      <c r="E217" s="27" t="s">
        <v>712</v>
      </c>
    </row>
    <row r="218" spans="1:5" ht="12.75">
      <c r="A218" s="26" t="s">
        <v>396</v>
      </c>
      <c r="B218" s="6" t="s">
        <v>272</v>
      </c>
      <c r="C218" s="6" t="s">
        <v>277</v>
      </c>
      <c r="D218" s="6" t="s">
        <v>194</v>
      </c>
      <c r="E218" s="27" t="s">
        <v>713</v>
      </c>
    </row>
    <row r="219" spans="1:5" ht="12.75">
      <c r="A219" s="26" t="s">
        <v>479</v>
      </c>
      <c r="B219" s="6" t="s">
        <v>272</v>
      </c>
      <c r="C219" s="6" t="s">
        <v>170</v>
      </c>
      <c r="D219" s="6" t="s">
        <v>193</v>
      </c>
      <c r="E219" s="27" t="s">
        <v>714</v>
      </c>
    </row>
    <row r="220" spans="1:5" ht="12.75">
      <c r="A220" s="26" t="s">
        <v>384</v>
      </c>
      <c r="B220" s="6" t="s">
        <v>280</v>
      </c>
      <c r="C220" s="6" t="s">
        <v>273</v>
      </c>
      <c r="D220" s="6" t="s">
        <v>286</v>
      </c>
      <c r="E220" s="27" t="s">
        <v>715</v>
      </c>
    </row>
    <row r="221" spans="1:5" ht="12.75">
      <c r="A221" s="26" t="s">
        <v>427</v>
      </c>
      <c r="B221" s="6" t="s">
        <v>280</v>
      </c>
      <c r="C221" s="6" t="s">
        <v>164</v>
      </c>
      <c r="D221" s="6" t="s">
        <v>422</v>
      </c>
      <c r="E221" s="27" t="s">
        <v>716</v>
      </c>
    </row>
    <row r="222" spans="1:5" ht="12.75">
      <c r="A222" s="26" t="s">
        <v>216</v>
      </c>
      <c r="B222" s="6" t="s">
        <v>280</v>
      </c>
      <c r="C222" s="6" t="s">
        <v>273</v>
      </c>
      <c r="D222" s="6" t="s">
        <v>99</v>
      </c>
      <c r="E222" s="27" t="s">
        <v>717</v>
      </c>
    </row>
    <row r="223" spans="1:5" ht="12.75">
      <c r="A223" s="26" t="s">
        <v>380</v>
      </c>
      <c r="B223" s="6" t="s">
        <v>281</v>
      </c>
      <c r="C223" s="6" t="s">
        <v>273</v>
      </c>
      <c r="D223" s="6" t="s">
        <v>110</v>
      </c>
      <c r="E223" s="27" t="s">
        <v>718</v>
      </c>
    </row>
    <row r="224" spans="1:5" ht="12.75">
      <c r="A224" s="26" t="s">
        <v>367</v>
      </c>
      <c r="B224" s="6" t="s">
        <v>281</v>
      </c>
      <c r="C224" s="6" t="s">
        <v>297</v>
      </c>
      <c r="D224" s="6" t="s">
        <v>371</v>
      </c>
      <c r="E224" s="27" t="s">
        <v>719</v>
      </c>
    </row>
    <row r="226" spans="1:2" ht="14.25">
      <c r="A226" s="23" t="s">
        <v>274</v>
      </c>
      <c r="B226" s="24"/>
    </row>
    <row r="227" spans="1:5" ht="15">
      <c r="A227" s="25" t="s">
        <v>1</v>
      </c>
      <c r="B227" s="25" t="s">
        <v>157</v>
      </c>
      <c r="C227" s="25" t="s">
        <v>158</v>
      </c>
      <c r="D227" s="25" t="s">
        <v>7</v>
      </c>
      <c r="E227" s="25" t="s">
        <v>159</v>
      </c>
    </row>
    <row r="228" spans="1:5" ht="12.75">
      <c r="A228" s="26" t="s">
        <v>434</v>
      </c>
      <c r="B228" s="6" t="s">
        <v>275</v>
      </c>
      <c r="C228" s="6" t="s">
        <v>164</v>
      </c>
      <c r="D228" s="6" t="s">
        <v>215</v>
      </c>
      <c r="E228" s="27" t="s">
        <v>720</v>
      </c>
    </row>
    <row r="229" spans="1:5" ht="12.75">
      <c r="A229" s="26" t="s">
        <v>533</v>
      </c>
      <c r="B229" s="6" t="s">
        <v>275</v>
      </c>
      <c r="C229" s="6" t="s">
        <v>172</v>
      </c>
      <c r="D229" s="6" t="s">
        <v>141</v>
      </c>
      <c r="E229" s="27" t="s">
        <v>721</v>
      </c>
    </row>
    <row r="230" spans="1:5" ht="12.75">
      <c r="A230" s="26" t="s">
        <v>568</v>
      </c>
      <c r="B230" s="6" t="s">
        <v>275</v>
      </c>
      <c r="C230" s="6" t="s">
        <v>163</v>
      </c>
      <c r="D230" s="35" t="s">
        <v>571</v>
      </c>
      <c r="E230" s="34" t="s">
        <v>572</v>
      </c>
    </row>
    <row r="231" spans="1:5" ht="12.75">
      <c r="A231" s="26" t="s">
        <v>573</v>
      </c>
      <c r="B231" s="6" t="s">
        <v>275</v>
      </c>
      <c r="C231" s="6" t="s">
        <v>163</v>
      </c>
      <c r="D231" s="6" t="s">
        <v>215</v>
      </c>
      <c r="E231" s="27" t="s">
        <v>722</v>
      </c>
    </row>
    <row r="232" spans="1:5" ht="12.75">
      <c r="A232" s="26" t="s">
        <v>387</v>
      </c>
      <c r="B232" s="6" t="s">
        <v>275</v>
      </c>
      <c r="C232" s="6" t="s">
        <v>273</v>
      </c>
      <c r="D232" s="6" t="s">
        <v>364</v>
      </c>
      <c r="E232" s="27" t="s">
        <v>723</v>
      </c>
    </row>
    <row r="233" spans="1:5" ht="12.75">
      <c r="A233" s="26" t="s">
        <v>634</v>
      </c>
      <c r="B233" s="6" t="s">
        <v>275</v>
      </c>
      <c r="C233" s="6" t="s">
        <v>167</v>
      </c>
      <c r="D233" s="6" t="s">
        <v>198</v>
      </c>
      <c r="E233" s="27" t="s">
        <v>724</v>
      </c>
    </row>
    <row r="235" spans="1:2" ht="14.25">
      <c r="A235" s="23" t="s">
        <v>156</v>
      </c>
      <c r="B235" s="24"/>
    </row>
    <row r="236" spans="1:5" ht="15">
      <c r="A236" s="25" t="s">
        <v>1</v>
      </c>
      <c r="B236" s="25" t="s">
        <v>157</v>
      </c>
      <c r="C236" s="25" t="s">
        <v>158</v>
      </c>
      <c r="D236" s="25" t="s">
        <v>7</v>
      </c>
      <c r="E236" s="25" t="s">
        <v>159</v>
      </c>
    </row>
    <row r="237" spans="1:5" ht="12.75">
      <c r="A237" s="26" t="s">
        <v>452</v>
      </c>
      <c r="B237" s="6" t="s">
        <v>156</v>
      </c>
      <c r="C237" s="6" t="s">
        <v>164</v>
      </c>
      <c r="D237" s="6" t="s">
        <v>44</v>
      </c>
      <c r="E237" s="27" t="s">
        <v>725</v>
      </c>
    </row>
    <row r="238" spans="1:5" ht="12.75">
      <c r="A238" s="26" t="s">
        <v>577</v>
      </c>
      <c r="B238" s="6" t="s">
        <v>156</v>
      </c>
      <c r="C238" s="6" t="s">
        <v>163</v>
      </c>
      <c r="D238" s="6" t="s">
        <v>135</v>
      </c>
      <c r="E238" s="27" t="s">
        <v>726</v>
      </c>
    </row>
    <row r="239" spans="1:5" ht="12.75">
      <c r="A239" s="26" t="s">
        <v>481</v>
      </c>
      <c r="B239" s="6" t="s">
        <v>156</v>
      </c>
      <c r="C239" s="6" t="s">
        <v>170</v>
      </c>
      <c r="D239" s="6" t="s">
        <v>44</v>
      </c>
      <c r="E239" s="27" t="s">
        <v>727</v>
      </c>
    </row>
    <row r="240" spans="1:5" ht="12.75">
      <c r="A240" s="26" t="s">
        <v>536</v>
      </c>
      <c r="B240" s="6" t="s">
        <v>156</v>
      </c>
      <c r="C240" s="6" t="s">
        <v>172</v>
      </c>
      <c r="D240" s="6" t="s">
        <v>539</v>
      </c>
      <c r="E240" s="27" t="s">
        <v>728</v>
      </c>
    </row>
    <row r="241" spans="1:5" ht="12.75">
      <c r="A241" s="26" t="s">
        <v>403</v>
      </c>
      <c r="B241" s="6" t="s">
        <v>156</v>
      </c>
      <c r="C241" s="6" t="s">
        <v>277</v>
      </c>
      <c r="D241" s="6" t="s">
        <v>27</v>
      </c>
      <c r="E241" s="27" t="s">
        <v>729</v>
      </c>
    </row>
    <row r="242" spans="1:5" ht="12.75">
      <c r="A242" s="26" t="s">
        <v>580</v>
      </c>
      <c r="B242" s="6" t="s">
        <v>156</v>
      </c>
      <c r="C242" s="6" t="s">
        <v>163</v>
      </c>
      <c r="D242" s="6" t="s">
        <v>228</v>
      </c>
      <c r="E242" s="27" t="s">
        <v>730</v>
      </c>
    </row>
    <row r="243" spans="1:5" ht="12.75">
      <c r="A243" s="26" t="s">
        <v>637</v>
      </c>
      <c r="B243" s="6" t="s">
        <v>156</v>
      </c>
      <c r="C243" s="6" t="s">
        <v>167</v>
      </c>
      <c r="D243" s="6" t="s">
        <v>539</v>
      </c>
      <c r="E243" s="27" t="s">
        <v>731</v>
      </c>
    </row>
    <row r="244" spans="1:5" ht="12.75">
      <c r="A244" s="26" t="s">
        <v>488</v>
      </c>
      <c r="B244" s="6" t="s">
        <v>156</v>
      </c>
      <c r="C244" s="6" t="s">
        <v>170</v>
      </c>
      <c r="D244" s="6" t="s">
        <v>492</v>
      </c>
      <c r="E244" s="27" t="s">
        <v>732</v>
      </c>
    </row>
    <row r="245" spans="1:5" ht="12.75">
      <c r="A245" s="26" t="s">
        <v>583</v>
      </c>
      <c r="B245" s="6" t="s">
        <v>156</v>
      </c>
      <c r="C245" s="6" t="s">
        <v>163</v>
      </c>
      <c r="D245" s="6" t="s">
        <v>245</v>
      </c>
      <c r="E245" s="27" t="s">
        <v>733</v>
      </c>
    </row>
    <row r="246" spans="1:5" ht="12.75">
      <c r="A246" s="26" t="s">
        <v>640</v>
      </c>
      <c r="B246" s="6" t="s">
        <v>156</v>
      </c>
      <c r="C246" s="6" t="s">
        <v>167</v>
      </c>
      <c r="D246" s="6" t="s">
        <v>212</v>
      </c>
      <c r="E246" s="27" t="s">
        <v>734</v>
      </c>
    </row>
    <row r="247" spans="1:5" ht="12.75">
      <c r="A247" s="26" t="s">
        <v>671</v>
      </c>
      <c r="B247" s="6" t="s">
        <v>156</v>
      </c>
      <c r="C247" s="6" t="s">
        <v>160</v>
      </c>
      <c r="D247" s="6" t="s">
        <v>228</v>
      </c>
      <c r="E247" s="27" t="s">
        <v>735</v>
      </c>
    </row>
    <row r="248" spans="1:5" ht="12.75">
      <c r="A248" s="26" t="s">
        <v>587</v>
      </c>
      <c r="B248" s="6" t="s">
        <v>156</v>
      </c>
      <c r="C248" s="6" t="s">
        <v>163</v>
      </c>
      <c r="D248" s="6" t="s">
        <v>245</v>
      </c>
      <c r="E248" s="27" t="s">
        <v>736</v>
      </c>
    </row>
    <row r="249" spans="1:5" ht="12.75">
      <c r="A249" s="26" t="s">
        <v>493</v>
      </c>
      <c r="B249" s="6" t="s">
        <v>156</v>
      </c>
      <c r="C249" s="6" t="s">
        <v>170</v>
      </c>
      <c r="D249" s="6" t="s">
        <v>141</v>
      </c>
      <c r="E249" s="27" t="s">
        <v>737</v>
      </c>
    </row>
    <row r="250" spans="1:5" ht="12.75">
      <c r="A250" s="26" t="s">
        <v>495</v>
      </c>
      <c r="B250" s="6" t="s">
        <v>156</v>
      </c>
      <c r="C250" s="6" t="s">
        <v>170</v>
      </c>
      <c r="D250" s="6" t="s">
        <v>141</v>
      </c>
      <c r="E250" s="27" t="s">
        <v>738</v>
      </c>
    </row>
    <row r="251" spans="1:5" ht="12.75">
      <c r="A251" s="26" t="s">
        <v>590</v>
      </c>
      <c r="B251" s="6" t="s">
        <v>156</v>
      </c>
      <c r="C251" s="6" t="s">
        <v>163</v>
      </c>
      <c r="D251" s="6" t="s">
        <v>44</v>
      </c>
      <c r="E251" s="27" t="s">
        <v>739</v>
      </c>
    </row>
    <row r="252" spans="1:5" ht="12.75">
      <c r="A252" s="26" t="s">
        <v>373</v>
      </c>
      <c r="B252" s="6" t="s">
        <v>156</v>
      </c>
      <c r="C252" s="6" t="s">
        <v>278</v>
      </c>
      <c r="D252" s="6" t="s">
        <v>232</v>
      </c>
      <c r="E252" s="27" t="s">
        <v>740</v>
      </c>
    </row>
    <row r="253" spans="1:5" ht="12.75">
      <c r="A253" s="26" t="s">
        <v>222</v>
      </c>
      <c r="B253" s="6" t="s">
        <v>156</v>
      </c>
      <c r="C253" s="6" t="s">
        <v>277</v>
      </c>
      <c r="D253" s="6" t="s">
        <v>196</v>
      </c>
      <c r="E253" s="27" t="s">
        <v>741</v>
      </c>
    </row>
    <row r="254" spans="1:5" ht="12.75">
      <c r="A254" s="26" t="s">
        <v>540</v>
      </c>
      <c r="B254" s="6" t="s">
        <v>156</v>
      </c>
      <c r="C254" s="6" t="s">
        <v>172</v>
      </c>
      <c r="D254" s="6" t="s">
        <v>28</v>
      </c>
      <c r="E254" s="27" t="s">
        <v>742</v>
      </c>
    </row>
    <row r="255" spans="1:5" ht="12.75">
      <c r="A255" s="26" t="s">
        <v>498</v>
      </c>
      <c r="B255" s="6" t="s">
        <v>156</v>
      </c>
      <c r="C255" s="6" t="s">
        <v>170</v>
      </c>
      <c r="D255" s="6" t="s">
        <v>27</v>
      </c>
      <c r="E255" s="27" t="s">
        <v>743</v>
      </c>
    </row>
    <row r="256" spans="1:5" ht="12.75">
      <c r="A256" s="26" t="s">
        <v>501</v>
      </c>
      <c r="B256" s="6" t="s">
        <v>156</v>
      </c>
      <c r="C256" s="6" t="s">
        <v>170</v>
      </c>
      <c r="D256" s="6" t="s">
        <v>27</v>
      </c>
      <c r="E256" s="27" t="s">
        <v>744</v>
      </c>
    </row>
    <row r="257" spans="1:5" ht="12.75">
      <c r="A257" s="26" t="s">
        <v>594</v>
      </c>
      <c r="B257" s="6" t="s">
        <v>156</v>
      </c>
      <c r="C257" s="6" t="s">
        <v>163</v>
      </c>
      <c r="D257" s="6" t="s">
        <v>28</v>
      </c>
      <c r="E257" s="27" t="s">
        <v>745</v>
      </c>
    </row>
    <row r="258" spans="1:5" ht="12.75">
      <c r="A258" s="26" t="s">
        <v>542</v>
      </c>
      <c r="B258" s="6" t="s">
        <v>156</v>
      </c>
      <c r="C258" s="6" t="s">
        <v>172</v>
      </c>
      <c r="D258" s="6" t="s">
        <v>406</v>
      </c>
      <c r="E258" s="27" t="s">
        <v>746</v>
      </c>
    </row>
    <row r="259" spans="1:5" ht="12.75">
      <c r="A259" s="26" t="s">
        <v>411</v>
      </c>
      <c r="B259" s="6" t="s">
        <v>156</v>
      </c>
      <c r="C259" s="6" t="s">
        <v>277</v>
      </c>
      <c r="D259" s="6" t="s">
        <v>147</v>
      </c>
      <c r="E259" s="27" t="s">
        <v>747</v>
      </c>
    </row>
    <row r="260" spans="1:5" ht="12.75">
      <c r="A260" s="26" t="s">
        <v>674</v>
      </c>
      <c r="B260" s="6" t="s">
        <v>156</v>
      </c>
      <c r="C260" s="6" t="s">
        <v>160</v>
      </c>
      <c r="D260" s="6" t="s">
        <v>593</v>
      </c>
      <c r="E260" s="27" t="s">
        <v>748</v>
      </c>
    </row>
    <row r="262" spans="1:2" ht="14.25">
      <c r="A262" s="23" t="s">
        <v>178</v>
      </c>
      <c r="B262" s="24"/>
    </row>
    <row r="263" spans="1:5" ht="15">
      <c r="A263" s="25" t="s">
        <v>1</v>
      </c>
      <c r="B263" s="25" t="s">
        <v>157</v>
      </c>
      <c r="C263" s="25" t="s">
        <v>158</v>
      </c>
      <c r="D263" s="25" t="s">
        <v>7</v>
      </c>
      <c r="E263" s="25" t="s">
        <v>159</v>
      </c>
    </row>
    <row r="264" spans="1:5" ht="12.75">
      <c r="A264" s="26" t="s">
        <v>559</v>
      </c>
      <c r="B264" s="6" t="s">
        <v>181</v>
      </c>
      <c r="C264" s="6" t="s">
        <v>172</v>
      </c>
      <c r="D264" s="6" t="s">
        <v>44</v>
      </c>
      <c r="E264" s="27" t="s">
        <v>749</v>
      </c>
    </row>
    <row r="265" spans="1:5" ht="12.75">
      <c r="A265" s="26" t="s">
        <v>620</v>
      </c>
      <c r="B265" s="6" t="s">
        <v>187</v>
      </c>
      <c r="C265" s="6" t="s">
        <v>163</v>
      </c>
      <c r="D265" s="6" t="s">
        <v>124</v>
      </c>
      <c r="E265" s="27" t="s">
        <v>750</v>
      </c>
    </row>
    <row r="266" spans="1:5" ht="12.75">
      <c r="A266" s="26" t="s">
        <v>507</v>
      </c>
      <c r="B266" s="6" t="s">
        <v>179</v>
      </c>
      <c r="C266" s="6" t="s">
        <v>170</v>
      </c>
      <c r="D266" s="6" t="s">
        <v>135</v>
      </c>
      <c r="E266" s="27" t="s">
        <v>751</v>
      </c>
    </row>
    <row r="267" spans="1:5" ht="12.75">
      <c r="A267" s="26" t="s">
        <v>632</v>
      </c>
      <c r="B267" s="6" t="s">
        <v>283</v>
      </c>
      <c r="C267" s="6" t="s">
        <v>163</v>
      </c>
      <c r="D267" s="6" t="s">
        <v>196</v>
      </c>
      <c r="E267" s="27" t="s">
        <v>752</v>
      </c>
    </row>
    <row r="268" spans="1:5" ht="12.75">
      <c r="A268" s="26" t="s">
        <v>611</v>
      </c>
      <c r="B268" s="6" t="s">
        <v>179</v>
      </c>
      <c r="C268" s="6" t="s">
        <v>163</v>
      </c>
      <c r="D268" s="6" t="s">
        <v>124</v>
      </c>
      <c r="E268" s="27" t="s">
        <v>753</v>
      </c>
    </row>
    <row r="269" spans="1:5" ht="12.75">
      <c r="A269" s="26" t="s">
        <v>577</v>
      </c>
      <c r="B269" s="6" t="s">
        <v>179</v>
      </c>
      <c r="C269" s="6" t="s">
        <v>163</v>
      </c>
      <c r="D269" s="6" t="s">
        <v>135</v>
      </c>
      <c r="E269" s="27" t="s">
        <v>754</v>
      </c>
    </row>
    <row r="270" spans="1:5" ht="12.75">
      <c r="A270" s="26" t="s">
        <v>46</v>
      </c>
      <c r="B270" s="6" t="s">
        <v>181</v>
      </c>
      <c r="C270" s="6" t="s">
        <v>170</v>
      </c>
      <c r="D270" s="6" t="s">
        <v>140</v>
      </c>
      <c r="E270" s="27" t="s">
        <v>755</v>
      </c>
    </row>
    <row r="271" spans="1:5" ht="12.75">
      <c r="A271" s="26" t="s">
        <v>597</v>
      </c>
      <c r="B271" s="6" t="s">
        <v>279</v>
      </c>
      <c r="C271" s="6" t="s">
        <v>163</v>
      </c>
      <c r="D271" s="6" t="s">
        <v>33</v>
      </c>
      <c r="E271" s="27" t="s">
        <v>756</v>
      </c>
    </row>
    <row r="272" spans="1:5" ht="12.75">
      <c r="A272" s="26" t="s">
        <v>459</v>
      </c>
      <c r="B272" s="6" t="s">
        <v>276</v>
      </c>
      <c r="C272" s="6" t="s">
        <v>164</v>
      </c>
      <c r="D272" s="6" t="s">
        <v>293</v>
      </c>
      <c r="E272" s="27" t="s">
        <v>757</v>
      </c>
    </row>
    <row r="273" spans="1:5" ht="12.75">
      <c r="A273" s="26" t="s">
        <v>526</v>
      </c>
      <c r="B273" s="6" t="s">
        <v>181</v>
      </c>
      <c r="C273" s="6" t="s">
        <v>170</v>
      </c>
      <c r="D273" s="6" t="s">
        <v>215</v>
      </c>
      <c r="E273" s="27" t="s">
        <v>758</v>
      </c>
    </row>
    <row r="274" spans="1:5" ht="12.75">
      <c r="A274" s="26" t="s">
        <v>12</v>
      </c>
      <c r="B274" s="6" t="s">
        <v>759</v>
      </c>
      <c r="C274" s="6" t="s">
        <v>164</v>
      </c>
      <c r="D274" s="6" t="s">
        <v>290</v>
      </c>
      <c r="E274" s="27" t="s">
        <v>760</v>
      </c>
    </row>
    <row r="275" spans="1:5" ht="12.75">
      <c r="A275" s="26" t="s">
        <v>518</v>
      </c>
      <c r="B275" s="6" t="s">
        <v>179</v>
      </c>
      <c r="C275" s="6" t="s">
        <v>170</v>
      </c>
      <c r="D275" s="6" t="s">
        <v>406</v>
      </c>
      <c r="E275" s="27" t="s">
        <v>761</v>
      </c>
    </row>
    <row r="276" spans="1:5" ht="12.75">
      <c r="A276" s="26" t="s">
        <v>469</v>
      </c>
      <c r="B276" s="6" t="s">
        <v>762</v>
      </c>
      <c r="C276" s="6" t="s">
        <v>164</v>
      </c>
      <c r="D276" s="6" t="s">
        <v>16</v>
      </c>
      <c r="E276" s="27" t="s">
        <v>763</v>
      </c>
    </row>
    <row r="277" spans="1:5" ht="12.75">
      <c r="A277" s="26" t="s">
        <v>671</v>
      </c>
      <c r="B277" s="6" t="s">
        <v>179</v>
      </c>
      <c r="C277" s="6" t="s">
        <v>160</v>
      </c>
      <c r="D277" s="6" t="s">
        <v>228</v>
      </c>
      <c r="E277" s="27" t="s">
        <v>764</v>
      </c>
    </row>
    <row r="278" spans="1:5" ht="12.75">
      <c r="A278" s="26" t="s">
        <v>650</v>
      </c>
      <c r="B278" s="6" t="s">
        <v>179</v>
      </c>
      <c r="C278" s="6" t="s">
        <v>167</v>
      </c>
      <c r="D278" s="6" t="s">
        <v>44</v>
      </c>
      <c r="E278" s="27" t="s">
        <v>765</v>
      </c>
    </row>
    <row r="279" spans="1:5" ht="12.75">
      <c r="A279" s="26" t="s">
        <v>600</v>
      </c>
      <c r="B279" s="6" t="s">
        <v>279</v>
      </c>
      <c r="C279" s="6" t="s">
        <v>163</v>
      </c>
      <c r="D279" s="6" t="s">
        <v>211</v>
      </c>
      <c r="E279" s="27" t="s">
        <v>766</v>
      </c>
    </row>
    <row r="280" spans="1:5" ht="12.75">
      <c r="A280" s="26" t="s">
        <v>626</v>
      </c>
      <c r="B280" s="6" t="s">
        <v>276</v>
      </c>
      <c r="C280" s="6" t="s">
        <v>163</v>
      </c>
      <c r="D280" s="6" t="s">
        <v>147</v>
      </c>
      <c r="E280" s="27" t="s">
        <v>767</v>
      </c>
    </row>
    <row r="281" spans="1:5" ht="12.75">
      <c r="A281" s="26" t="s">
        <v>495</v>
      </c>
      <c r="B281" s="6" t="s">
        <v>279</v>
      </c>
      <c r="C281" s="6" t="s">
        <v>170</v>
      </c>
      <c r="D281" s="6" t="s">
        <v>141</v>
      </c>
      <c r="E281" s="27" t="s">
        <v>768</v>
      </c>
    </row>
    <row r="282" spans="1:5" ht="12.75">
      <c r="A282" s="26" t="s">
        <v>377</v>
      </c>
      <c r="B282" s="6" t="s">
        <v>282</v>
      </c>
      <c r="C282" s="6" t="s">
        <v>278</v>
      </c>
      <c r="D282" s="6" t="s">
        <v>320</v>
      </c>
      <c r="E282" s="27" t="s">
        <v>769</v>
      </c>
    </row>
    <row r="283" spans="1:5" ht="12.75">
      <c r="A283" s="26" t="s">
        <v>103</v>
      </c>
      <c r="B283" s="6" t="s">
        <v>179</v>
      </c>
      <c r="C283" s="6" t="s">
        <v>167</v>
      </c>
      <c r="D283" s="6" t="s">
        <v>593</v>
      </c>
      <c r="E283" s="27" t="s">
        <v>770</v>
      </c>
    </row>
    <row r="284" spans="1:5" ht="12.75">
      <c r="A284" s="26" t="s">
        <v>652</v>
      </c>
      <c r="B284" s="6" t="s">
        <v>179</v>
      </c>
      <c r="C284" s="6" t="s">
        <v>167</v>
      </c>
      <c r="D284" s="6" t="s">
        <v>586</v>
      </c>
      <c r="E284" s="27" t="s">
        <v>771</v>
      </c>
    </row>
    <row r="285" spans="1:5" ht="12.75">
      <c r="A285" s="26" t="s">
        <v>540</v>
      </c>
      <c r="B285" s="6" t="s">
        <v>279</v>
      </c>
      <c r="C285" s="6" t="s">
        <v>172</v>
      </c>
      <c r="D285" s="6" t="s">
        <v>28</v>
      </c>
      <c r="E285" s="27" t="s">
        <v>772</v>
      </c>
    </row>
    <row r="286" spans="1:5" ht="12.75">
      <c r="A286" s="26" t="s">
        <v>549</v>
      </c>
      <c r="B286" s="6" t="s">
        <v>187</v>
      </c>
      <c r="C286" s="6" t="s">
        <v>172</v>
      </c>
      <c r="D286" s="6" t="s">
        <v>140</v>
      </c>
      <c r="E286" s="27" t="s">
        <v>773</v>
      </c>
    </row>
    <row r="287" spans="1:5" ht="12.75">
      <c r="A287" s="26" t="s">
        <v>674</v>
      </c>
      <c r="B287" s="6" t="s">
        <v>179</v>
      </c>
      <c r="C287" s="6" t="s">
        <v>160</v>
      </c>
      <c r="D287" s="6" t="s">
        <v>593</v>
      </c>
      <c r="E287" s="27" t="s">
        <v>774</v>
      </c>
    </row>
  </sheetData>
  <sheetProtection selectLockedCells="1" selectUnlockedCells="1"/>
  <mergeCells count="26">
    <mergeCell ref="L3:L4"/>
    <mergeCell ref="A1:L2"/>
    <mergeCell ref="A162:K162"/>
    <mergeCell ref="A171:K171"/>
    <mergeCell ref="A3:A4"/>
    <mergeCell ref="B3:B4"/>
    <mergeCell ref="C3:C4"/>
    <mergeCell ref="D3:D4"/>
    <mergeCell ref="E3:E4"/>
    <mergeCell ref="J3:J4"/>
    <mergeCell ref="K3:K4"/>
    <mergeCell ref="A64:K64"/>
    <mergeCell ref="A83:K83"/>
    <mergeCell ref="A104:K104"/>
    <mergeCell ref="A119:K119"/>
    <mergeCell ref="A145:K145"/>
    <mergeCell ref="A32:K32"/>
    <mergeCell ref="A36:K36"/>
    <mergeCell ref="A39:K39"/>
    <mergeCell ref="A43:K43"/>
    <mergeCell ref="A51:K51"/>
    <mergeCell ref="F3:I3"/>
    <mergeCell ref="A5:K5"/>
    <mergeCell ref="A8:K8"/>
    <mergeCell ref="A13:K13"/>
    <mergeCell ref="A23:K23"/>
  </mergeCells>
  <printOptions/>
  <pageMargins left="0.75" right="0.75" top="0.979861111111111" bottom="0.979861111111111" header="0.509722222222222" footer="0.509722222222222"/>
  <pageSetup fitToWidth="0" fitToHeight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zoomScalePageLayoutView="0" workbookViewId="0" topLeftCell="A37">
      <selection activeCell="A11" sqref="A11:K11"/>
    </sheetView>
  </sheetViews>
  <sheetFormatPr defaultColWidth="8.875" defaultRowHeight="12.75"/>
  <cols>
    <col min="1" max="1" width="24.875" style="6" customWidth="1"/>
    <col min="2" max="2" width="26.625" style="6" customWidth="1"/>
    <col min="3" max="3" width="7.625" style="6" customWidth="1"/>
    <col min="4" max="4" width="6.625" style="6" customWidth="1"/>
    <col min="5" max="5" width="17.00390625" style="6" customWidth="1"/>
    <col min="6" max="9" width="5.625" style="6" customWidth="1"/>
    <col min="10" max="10" width="6.25390625" style="7" customWidth="1"/>
    <col min="11" max="11" width="8.625" style="6" customWidth="1"/>
    <col min="12" max="12" width="14.25390625" style="6" customWidth="1"/>
  </cols>
  <sheetData>
    <row r="1" spans="1:12" s="2" customFormat="1" ht="15" customHeight="1">
      <c r="A1" s="54" t="s">
        <v>786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50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2.75" customHeight="1">
      <c r="A3" s="49" t="s">
        <v>1</v>
      </c>
      <c r="B3" s="50" t="s">
        <v>2</v>
      </c>
      <c r="C3" s="50" t="s">
        <v>3</v>
      </c>
      <c r="D3" s="51" t="s">
        <v>4</v>
      </c>
      <c r="E3" s="51" t="s">
        <v>5</v>
      </c>
      <c r="F3" s="46" t="s">
        <v>6</v>
      </c>
      <c r="G3" s="46"/>
      <c r="H3" s="46"/>
      <c r="I3" s="46"/>
      <c r="J3" s="55" t="s">
        <v>7</v>
      </c>
      <c r="K3" s="51" t="s">
        <v>8</v>
      </c>
      <c r="L3" s="53" t="s">
        <v>9</v>
      </c>
    </row>
    <row r="4" spans="1:12" s="1" customFormat="1" ht="23.25" customHeight="1">
      <c r="A4" s="49"/>
      <c r="B4" s="50"/>
      <c r="C4" s="50"/>
      <c r="D4" s="50"/>
      <c r="E4" s="50"/>
      <c r="F4" s="3">
        <v>1</v>
      </c>
      <c r="G4" s="4">
        <v>2</v>
      </c>
      <c r="H4" s="4">
        <v>3</v>
      </c>
      <c r="I4" s="5" t="s">
        <v>10</v>
      </c>
      <c r="J4" s="55"/>
      <c r="K4" s="51"/>
      <c r="L4" s="53"/>
    </row>
    <row r="5" spans="1:11" ht="15">
      <c r="A5" s="47" t="s">
        <v>289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ht="12.75">
      <c r="A6" s="8" t="s">
        <v>787</v>
      </c>
      <c r="B6" s="8" t="s">
        <v>788</v>
      </c>
      <c r="C6" s="8" t="s">
        <v>789</v>
      </c>
      <c r="D6" s="8" t="str">
        <f>"0,9903"</f>
        <v>0,9903</v>
      </c>
      <c r="E6" s="8" t="s">
        <v>49</v>
      </c>
      <c r="F6" s="8" t="s">
        <v>123</v>
      </c>
      <c r="G6" s="8" t="s">
        <v>456</v>
      </c>
      <c r="H6" s="13" t="s">
        <v>193</v>
      </c>
      <c r="I6" s="13"/>
      <c r="J6" s="16">
        <v>132.5</v>
      </c>
      <c r="K6" s="8" t="str">
        <f>"131,2147"</f>
        <v>131,2147</v>
      </c>
      <c r="L6" s="8" t="s">
        <v>790</v>
      </c>
    </row>
    <row r="8" spans="1:11" ht="15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2" ht="12.75">
      <c r="A9" s="8" t="s">
        <v>358</v>
      </c>
      <c r="B9" s="8" t="s">
        <v>359</v>
      </c>
      <c r="C9" s="8" t="s">
        <v>14</v>
      </c>
      <c r="D9" s="8" t="str">
        <f>"0,9998"</f>
        <v>0,9998</v>
      </c>
      <c r="E9" s="8" t="s">
        <v>49</v>
      </c>
      <c r="F9" s="8" t="s">
        <v>193</v>
      </c>
      <c r="G9" s="8" t="s">
        <v>194</v>
      </c>
      <c r="H9" s="8" t="s">
        <v>233</v>
      </c>
      <c r="I9" s="13" t="s">
        <v>198</v>
      </c>
      <c r="J9" s="16">
        <v>145</v>
      </c>
      <c r="K9" s="8" t="str">
        <f>"144,9752"</f>
        <v>144,9752</v>
      </c>
      <c r="L9" s="8"/>
    </row>
    <row r="11" spans="1:11" ht="15">
      <c r="A11" s="48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2" ht="12.75">
      <c r="A12" s="8" t="s">
        <v>791</v>
      </c>
      <c r="B12" s="8" t="s">
        <v>792</v>
      </c>
      <c r="C12" s="8" t="s">
        <v>793</v>
      </c>
      <c r="D12" s="8" t="str">
        <f>"0,7955"</f>
        <v>0,7955</v>
      </c>
      <c r="E12" s="8" t="s">
        <v>285</v>
      </c>
      <c r="F12" s="8" t="s">
        <v>491</v>
      </c>
      <c r="G12" s="13" t="s">
        <v>210</v>
      </c>
      <c r="H12" s="8" t="s">
        <v>210</v>
      </c>
      <c r="I12" s="13" t="s">
        <v>44</v>
      </c>
      <c r="J12" s="16">
        <v>205</v>
      </c>
      <c r="K12" s="8" t="str">
        <f>"163,0877"</f>
        <v>163,0877</v>
      </c>
      <c r="L12" s="8"/>
    </row>
    <row r="14" spans="1:11" ht="15">
      <c r="A14" s="48" t="s">
        <v>284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2" ht="12.75">
      <c r="A15" s="8" t="s">
        <v>794</v>
      </c>
      <c r="B15" s="8" t="s">
        <v>795</v>
      </c>
      <c r="C15" s="8" t="s">
        <v>796</v>
      </c>
      <c r="D15" s="8" t="str">
        <f>"1,0008"</f>
        <v>1,0008</v>
      </c>
      <c r="E15" s="8" t="s">
        <v>49</v>
      </c>
      <c r="F15" s="8" t="s">
        <v>16</v>
      </c>
      <c r="G15" s="8" t="s">
        <v>350</v>
      </c>
      <c r="H15" s="8" t="s">
        <v>364</v>
      </c>
      <c r="I15" s="13"/>
      <c r="J15" s="16">
        <v>120</v>
      </c>
      <c r="K15" s="8" t="str">
        <f>"120,0960"</f>
        <v>120,0960</v>
      </c>
      <c r="L15" s="8"/>
    </row>
    <row r="17" spans="1:11" ht="15">
      <c r="A17" s="48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2" ht="12.75">
      <c r="A18" s="9" t="s">
        <v>775</v>
      </c>
      <c r="B18" s="9" t="s">
        <v>776</v>
      </c>
      <c r="C18" s="9" t="s">
        <v>224</v>
      </c>
      <c r="D18" s="9" t="str">
        <f>"0,6885"</f>
        <v>0,6885</v>
      </c>
      <c r="E18" s="9" t="s">
        <v>49</v>
      </c>
      <c r="F18" s="9" t="s">
        <v>226</v>
      </c>
      <c r="G18" s="9" t="s">
        <v>135</v>
      </c>
      <c r="H18" s="10" t="s">
        <v>33</v>
      </c>
      <c r="I18" s="10"/>
      <c r="J18" s="17">
        <v>232.5</v>
      </c>
      <c r="K18" s="9" t="str">
        <f>"160,0879"</f>
        <v>160,0879</v>
      </c>
      <c r="L18" s="9" t="s">
        <v>777</v>
      </c>
    </row>
    <row r="19" spans="1:12" ht="12.75">
      <c r="A19" s="11" t="s">
        <v>415</v>
      </c>
      <c r="B19" s="11" t="s">
        <v>416</v>
      </c>
      <c r="C19" s="11" t="s">
        <v>409</v>
      </c>
      <c r="D19" s="11" t="str">
        <f>"0,7315"</f>
        <v>0,7315</v>
      </c>
      <c r="E19" s="11" t="s">
        <v>21</v>
      </c>
      <c r="F19" s="12" t="s">
        <v>196</v>
      </c>
      <c r="G19" s="11" t="s">
        <v>196</v>
      </c>
      <c r="H19" s="12" t="s">
        <v>552</v>
      </c>
      <c r="I19" s="12"/>
      <c r="J19" s="18">
        <v>170</v>
      </c>
      <c r="K19" s="11" t="str">
        <f>"124,3523"</f>
        <v>124,3523</v>
      </c>
      <c r="L19" s="11"/>
    </row>
    <row r="21" spans="1:11" ht="15">
      <c r="A21" s="48" t="s">
        <v>17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2" ht="12.75">
      <c r="A22" s="9" t="s">
        <v>434</v>
      </c>
      <c r="B22" s="9" t="s">
        <v>435</v>
      </c>
      <c r="C22" s="9" t="s">
        <v>436</v>
      </c>
      <c r="D22" s="9" t="str">
        <f>"0,6508"</f>
        <v>0,6508</v>
      </c>
      <c r="E22" s="9" t="s">
        <v>219</v>
      </c>
      <c r="F22" s="10" t="s">
        <v>141</v>
      </c>
      <c r="G22" s="9" t="s">
        <v>141</v>
      </c>
      <c r="H22" s="10" t="s">
        <v>210</v>
      </c>
      <c r="I22" s="10"/>
      <c r="J22" s="17">
        <v>190</v>
      </c>
      <c r="K22" s="9" t="str">
        <f>"123,6520"</f>
        <v>123,6520</v>
      </c>
      <c r="L22" s="9"/>
    </row>
    <row r="23" spans="1:12" ht="12.75">
      <c r="A23" s="14" t="s">
        <v>29</v>
      </c>
      <c r="B23" s="14" t="s">
        <v>30</v>
      </c>
      <c r="C23" s="14" t="s">
        <v>31</v>
      </c>
      <c r="D23" s="14" t="str">
        <f>"0,6513"</f>
        <v>0,6513</v>
      </c>
      <c r="E23" s="14" t="s">
        <v>32</v>
      </c>
      <c r="F23" s="14" t="s">
        <v>44</v>
      </c>
      <c r="G23" s="14" t="s">
        <v>539</v>
      </c>
      <c r="H23" s="14" t="s">
        <v>88</v>
      </c>
      <c r="I23" s="15"/>
      <c r="J23" s="19">
        <v>230</v>
      </c>
      <c r="K23" s="14" t="str">
        <f>"149,7990"</f>
        <v>149,7990</v>
      </c>
      <c r="L23" s="14"/>
    </row>
    <row r="24" spans="1:12" ht="12.75">
      <c r="A24" s="14" t="s">
        <v>779</v>
      </c>
      <c r="B24" s="14" t="s">
        <v>780</v>
      </c>
      <c r="C24" s="14" t="s">
        <v>781</v>
      </c>
      <c r="D24" s="14" t="str">
        <f>"0,6718"</f>
        <v>0,6718</v>
      </c>
      <c r="E24" s="14" t="s">
        <v>49</v>
      </c>
      <c r="F24" s="14" t="s">
        <v>286</v>
      </c>
      <c r="G24" s="14" t="s">
        <v>16</v>
      </c>
      <c r="H24" s="14" t="s">
        <v>190</v>
      </c>
      <c r="I24" s="15"/>
      <c r="J24" s="19">
        <v>110</v>
      </c>
      <c r="K24" s="14" t="str">
        <f>"73,8980"</f>
        <v>73,8980</v>
      </c>
      <c r="L24" s="14"/>
    </row>
    <row r="25" spans="1:12" ht="12.75">
      <c r="A25" s="14" t="s">
        <v>782</v>
      </c>
      <c r="B25" s="14" t="s">
        <v>783</v>
      </c>
      <c r="C25" s="14" t="s">
        <v>784</v>
      </c>
      <c r="D25" s="14" t="str">
        <f>"0,6651"</f>
        <v>0,6651</v>
      </c>
      <c r="E25" s="14" t="s">
        <v>49</v>
      </c>
      <c r="F25" s="14" t="s">
        <v>27</v>
      </c>
      <c r="G25" s="15" t="s">
        <v>491</v>
      </c>
      <c r="H25" s="15"/>
      <c r="I25" s="15"/>
      <c r="J25" s="19" t="s">
        <v>797</v>
      </c>
      <c r="K25" s="14" t="s">
        <v>798</v>
      </c>
      <c r="L25" s="14"/>
    </row>
    <row r="26" spans="1:12" ht="12.75">
      <c r="A26" s="14" t="s">
        <v>799</v>
      </c>
      <c r="B26" s="14" t="s">
        <v>800</v>
      </c>
      <c r="C26" s="14" t="s">
        <v>801</v>
      </c>
      <c r="D26" s="14" t="str">
        <f>"0,8136"</f>
        <v>0,8136</v>
      </c>
      <c r="E26" s="14" t="s">
        <v>49</v>
      </c>
      <c r="F26" s="14" t="s">
        <v>233</v>
      </c>
      <c r="G26" s="14" t="s">
        <v>198</v>
      </c>
      <c r="H26" s="14" t="s">
        <v>202</v>
      </c>
      <c r="I26" s="15"/>
      <c r="J26" s="19">
        <v>155</v>
      </c>
      <c r="K26" s="14" t="str">
        <f>"126,1058"</f>
        <v>126,1058</v>
      </c>
      <c r="L26" s="14"/>
    </row>
    <row r="27" spans="1:12" ht="12.75">
      <c r="A27" s="14" t="s">
        <v>802</v>
      </c>
      <c r="B27" s="14" t="s">
        <v>803</v>
      </c>
      <c r="C27" s="14" t="s">
        <v>804</v>
      </c>
      <c r="D27" s="14" t="str">
        <f>"0,8206"</f>
        <v>0,8206</v>
      </c>
      <c r="E27" s="14" t="s">
        <v>49</v>
      </c>
      <c r="F27" s="14" t="s">
        <v>210</v>
      </c>
      <c r="G27" s="14" t="s">
        <v>245</v>
      </c>
      <c r="H27" s="15" t="s">
        <v>211</v>
      </c>
      <c r="I27" s="15"/>
      <c r="J27" s="19">
        <v>212.5</v>
      </c>
      <c r="K27" s="14" t="str">
        <f>"174,3746"</f>
        <v>174,3746</v>
      </c>
      <c r="L27" s="14"/>
    </row>
    <row r="28" spans="1:12" ht="12.75">
      <c r="A28" s="14" t="s">
        <v>805</v>
      </c>
      <c r="B28" s="14" t="s">
        <v>806</v>
      </c>
      <c r="C28" s="14" t="s">
        <v>807</v>
      </c>
      <c r="D28" s="14" t="str">
        <f>"1,0877"</f>
        <v>1,0877</v>
      </c>
      <c r="E28" s="14" t="s">
        <v>49</v>
      </c>
      <c r="F28" s="14" t="s">
        <v>233</v>
      </c>
      <c r="G28" s="15" t="s">
        <v>202</v>
      </c>
      <c r="H28" s="15" t="s">
        <v>202</v>
      </c>
      <c r="I28" s="15"/>
      <c r="J28" s="19" t="s">
        <v>808</v>
      </c>
      <c r="K28" s="14" t="s">
        <v>809</v>
      </c>
      <c r="L28" s="14"/>
    </row>
    <row r="29" spans="1:12" ht="12.75">
      <c r="A29" s="11" t="s">
        <v>469</v>
      </c>
      <c r="B29" s="11" t="s">
        <v>470</v>
      </c>
      <c r="C29" s="11" t="s">
        <v>467</v>
      </c>
      <c r="D29" s="11" t="str">
        <f>"1,2175"</f>
        <v>1,2175</v>
      </c>
      <c r="E29" s="11" t="s">
        <v>341</v>
      </c>
      <c r="F29" s="11" t="s">
        <v>422</v>
      </c>
      <c r="G29" s="11" t="s">
        <v>190</v>
      </c>
      <c r="H29" s="11" t="s">
        <v>350</v>
      </c>
      <c r="I29" s="12"/>
      <c r="J29" s="18">
        <v>112.5</v>
      </c>
      <c r="K29" s="11" t="str">
        <f>"136,9713"</f>
        <v>136,9713</v>
      </c>
      <c r="L29" s="11"/>
    </row>
    <row r="31" spans="1:11" ht="15">
      <c r="A31" s="48" t="s">
        <v>35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2" ht="12.75">
      <c r="A32" s="9" t="s">
        <v>810</v>
      </c>
      <c r="B32" s="9" t="s">
        <v>811</v>
      </c>
      <c r="C32" s="9" t="s">
        <v>506</v>
      </c>
      <c r="D32" s="9" t="str">
        <f>"0,6184"</f>
        <v>0,6184</v>
      </c>
      <c r="E32" s="9" t="s">
        <v>49</v>
      </c>
      <c r="F32" s="10"/>
      <c r="G32" s="10"/>
      <c r="H32" s="10"/>
      <c r="I32" s="10"/>
      <c r="J32" s="17">
        <v>0</v>
      </c>
      <c r="K32" s="9" t="str">
        <f>"0,0000"</f>
        <v>0,0000</v>
      </c>
      <c r="L32" s="9"/>
    </row>
    <row r="33" spans="1:12" ht="12.75">
      <c r="A33" s="11" t="s">
        <v>812</v>
      </c>
      <c r="B33" s="11" t="s">
        <v>813</v>
      </c>
      <c r="C33" s="11" t="s">
        <v>214</v>
      </c>
      <c r="D33" s="11" t="str">
        <f>"0,6141"</f>
        <v>0,6141</v>
      </c>
      <c r="E33" s="11" t="s">
        <v>49</v>
      </c>
      <c r="F33" s="11" t="s">
        <v>135</v>
      </c>
      <c r="G33" s="12" t="s">
        <v>517</v>
      </c>
      <c r="H33" s="12" t="s">
        <v>517</v>
      </c>
      <c r="I33" s="12"/>
      <c r="J33" s="18" t="s">
        <v>135</v>
      </c>
      <c r="K33" s="11" t="s">
        <v>814</v>
      </c>
      <c r="L33" s="11"/>
    </row>
    <row r="34" spans="1:12" ht="12.75">
      <c r="A34" s="14" t="s">
        <v>815</v>
      </c>
      <c r="B34" s="14" t="s">
        <v>816</v>
      </c>
      <c r="C34" s="14" t="s">
        <v>817</v>
      </c>
      <c r="D34" s="14" t="str">
        <f>"0,6303"</f>
        <v>0,6303</v>
      </c>
      <c r="E34" s="14" t="s">
        <v>39</v>
      </c>
      <c r="F34" s="15" t="s">
        <v>135</v>
      </c>
      <c r="G34" s="14" t="s">
        <v>226</v>
      </c>
      <c r="H34" s="15" t="s">
        <v>517</v>
      </c>
      <c r="I34" s="15"/>
      <c r="J34" s="19">
        <v>220</v>
      </c>
      <c r="K34" s="14" t="str">
        <f>"138,6770"</f>
        <v>138,6770</v>
      </c>
      <c r="L34" s="14"/>
    </row>
    <row r="35" spans="1:12" ht="12.75">
      <c r="A35" s="14" t="s">
        <v>818</v>
      </c>
      <c r="B35" s="14" t="s">
        <v>819</v>
      </c>
      <c r="C35" s="14" t="s">
        <v>512</v>
      </c>
      <c r="D35" s="14" t="str">
        <f>"0,6295"</f>
        <v>0,6295</v>
      </c>
      <c r="E35" s="14" t="s">
        <v>49</v>
      </c>
      <c r="F35" s="15" t="s">
        <v>226</v>
      </c>
      <c r="G35" s="15" t="s">
        <v>88</v>
      </c>
      <c r="H35" s="15" t="s">
        <v>88</v>
      </c>
      <c r="I35" s="15"/>
      <c r="J35" s="19">
        <v>0</v>
      </c>
      <c r="K35" s="14" t="str">
        <f>"0,0000"</f>
        <v>0,0000</v>
      </c>
      <c r="L35" s="14"/>
    </row>
    <row r="36" spans="1:12" ht="12.75">
      <c r="A36" s="14" t="s">
        <v>810</v>
      </c>
      <c r="B36" s="14" t="s">
        <v>820</v>
      </c>
      <c r="C36" s="14" t="s">
        <v>506</v>
      </c>
      <c r="D36" s="14" t="str">
        <f>"0,6184"</f>
        <v>0,6184</v>
      </c>
      <c r="E36" s="14" t="s">
        <v>49</v>
      </c>
      <c r="F36" s="15"/>
      <c r="G36" s="15"/>
      <c r="H36" s="15"/>
      <c r="I36" s="15"/>
      <c r="J36" s="19">
        <v>0</v>
      </c>
      <c r="K36" s="14" t="str">
        <f>"0,0000"</f>
        <v>0,0000</v>
      </c>
      <c r="L36" s="14"/>
    </row>
    <row r="38" spans="1:11" ht="15">
      <c r="A38" s="48" t="s">
        <v>53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2" ht="12.75">
      <c r="A39" s="9" t="s">
        <v>821</v>
      </c>
      <c r="B39" s="9" t="s">
        <v>822</v>
      </c>
      <c r="C39" s="9" t="s">
        <v>823</v>
      </c>
      <c r="D39" s="9" t="str">
        <f>"0,5840"</f>
        <v>0,5840</v>
      </c>
      <c r="E39" s="9" t="s">
        <v>219</v>
      </c>
      <c r="F39" s="9" t="s">
        <v>52</v>
      </c>
      <c r="G39" s="9" t="s">
        <v>252</v>
      </c>
      <c r="H39" s="9" t="s">
        <v>824</v>
      </c>
      <c r="I39" s="10" t="s">
        <v>75</v>
      </c>
      <c r="J39" s="17">
        <v>280</v>
      </c>
      <c r="K39" s="9" t="str">
        <f>"163,5340"</f>
        <v>163,5340</v>
      </c>
      <c r="L39" s="9"/>
    </row>
    <row r="40" spans="1:12" ht="12.75">
      <c r="A40" s="14" t="s">
        <v>825</v>
      </c>
      <c r="B40" s="14" t="s">
        <v>826</v>
      </c>
      <c r="C40" s="14" t="s">
        <v>827</v>
      </c>
      <c r="D40" s="14" t="str">
        <f>"0,5997"</f>
        <v>0,5997</v>
      </c>
      <c r="E40" s="14" t="s">
        <v>778</v>
      </c>
      <c r="F40" s="15" t="s">
        <v>80</v>
      </c>
      <c r="G40" s="14" t="s">
        <v>22</v>
      </c>
      <c r="H40" s="15" t="s">
        <v>243</v>
      </c>
      <c r="I40" s="15"/>
      <c r="J40" s="19">
        <v>265</v>
      </c>
      <c r="K40" s="14" t="str">
        <f>"158,9073"</f>
        <v>158,9073</v>
      </c>
      <c r="L40" s="14"/>
    </row>
    <row r="41" spans="1:12" ht="12.75">
      <c r="A41" s="14" t="s">
        <v>540</v>
      </c>
      <c r="B41" s="14" t="s">
        <v>541</v>
      </c>
      <c r="C41" s="14" t="s">
        <v>56</v>
      </c>
      <c r="D41" s="14" t="str">
        <f>"0,5828"</f>
        <v>0,5828</v>
      </c>
      <c r="E41" s="14" t="s">
        <v>49</v>
      </c>
      <c r="F41" s="15" t="s">
        <v>33</v>
      </c>
      <c r="G41" s="14" t="s">
        <v>33</v>
      </c>
      <c r="H41" s="15" t="s">
        <v>40</v>
      </c>
      <c r="I41" s="15"/>
      <c r="J41" s="19">
        <v>240</v>
      </c>
      <c r="K41" s="14" t="str">
        <f>"139,8720"</f>
        <v>139,8720</v>
      </c>
      <c r="L41" s="14"/>
    </row>
    <row r="42" spans="1:12" ht="12.75">
      <c r="A42" s="14" t="s">
        <v>828</v>
      </c>
      <c r="B42" s="14" t="s">
        <v>829</v>
      </c>
      <c r="C42" s="14" t="s">
        <v>823</v>
      </c>
      <c r="D42" s="14" t="str">
        <f>"0,5840"</f>
        <v>0,5840</v>
      </c>
      <c r="E42" s="14" t="s">
        <v>49</v>
      </c>
      <c r="F42" s="15" t="s">
        <v>539</v>
      </c>
      <c r="G42" s="15" t="s">
        <v>539</v>
      </c>
      <c r="H42" s="15" t="s">
        <v>539</v>
      </c>
      <c r="I42" s="15"/>
      <c r="J42" s="19">
        <v>0</v>
      </c>
      <c r="K42" s="14" t="str">
        <f>"0,0000"</f>
        <v>0,0000</v>
      </c>
      <c r="L42" s="14"/>
    </row>
    <row r="43" spans="1:12" ht="12.75">
      <c r="A43" s="14" t="s">
        <v>821</v>
      </c>
      <c r="B43" s="14" t="s">
        <v>830</v>
      </c>
      <c r="C43" s="14" t="s">
        <v>823</v>
      </c>
      <c r="D43" s="14" t="str">
        <f>"0,5899"</f>
        <v>0,5899</v>
      </c>
      <c r="E43" s="14" t="s">
        <v>219</v>
      </c>
      <c r="F43" s="14" t="s">
        <v>52</v>
      </c>
      <c r="G43" s="14" t="s">
        <v>252</v>
      </c>
      <c r="H43" s="14" t="s">
        <v>824</v>
      </c>
      <c r="I43" s="15" t="s">
        <v>75</v>
      </c>
      <c r="J43" s="19">
        <v>280</v>
      </c>
      <c r="K43" s="14" t="str">
        <f>"165,1693"</f>
        <v>165,1693</v>
      </c>
      <c r="L43" s="14"/>
    </row>
    <row r="44" spans="1:12" ht="12.75">
      <c r="A44" s="11" t="s">
        <v>540</v>
      </c>
      <c r="B44" s="11" t="s">
        <v>545</v>
      </c>
      <c r="C44" s="11" t="s">
        <v>56</v>
      </c>
      <c r="D44" s="11" t="str">
        <f>"0,6009"</f>
        <v>0,6009</v>
      </c>
      <c r="E44" s="11" t="s">
        <v>49</v>
      </c>
      <c r="F44" s="12" t="s">
        <v>33</v>
      </c>
      <c r="G44" s="11" t="s">
        <v>33</v>
      </c>
      <c r="H44" s="12" t="s">
        <v>40</v>
      </c>
      <c r="I44" s="12"/>
      <c r="J44" s="18">
        <v>240</v>
      </c>
      <c r="K44" s="11" t="str">
        <f>"144,2080"</f>
        <v>144,2080</v>
      </c>
      <c r="L44" s="11"/>
    </row>
    <row r="46" spans="1:11" ht="15">
      <c r="A46" s="48" t="s">
        <v>57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2" ht="12.75">
      <c r="A47" s="9" t="s">
        <v>248</v>
      </c>
      <c r="B47" s="9" t="s">
        <v>249</v>
      </c>
      <c r="C47" s="9" t="s">
        <v>250</v>
      </c>
      <c r="D47" s="9" t="str">
        <f>"0,5627"</f>
        <v>0,5627</v>
      </c>
      <c r="E47" s="9" t="s">
        <v>49</v>
      </c>
      <c r="F47" s="9" t="s">
        <v>226</v>
      </c>
      <c r="G47" s="9" t="s">
        <v>124</v>
      </c>
      <c r="H47" s="10" t="s">
        <v>517</v>
      </c>
      <c r="I47" s="10"/>
      <c r="J47" s="17">
        <v>227.5</v>
      </c>
      <c r="K47" s="9" t="str">
        <f>"128,0029"</f>
        <v>128,0029</v>
      </c>
      <c r="L47" s="9"/>
    </row>
    <row r="48" spans="1:12" ht="12.75">
      <c r="A48" s="14" t="s">
        <v>831</v>
      </c>
      <c r="B48" s="14" t="s">
        <v>832</v>
      </c>
      <c r="C48" s="14" t="s">
        <v>833</v>
      </c>
      <c r="D48" s="14" t="str">
        <f>"0,5650"</f>
        <v>0,5650</v>
      </c>
      <c r="E48" s="14" t="s">
        <v>49</v>
      </c>
      <c r="F48" s="14" t="s">
        <v>256</v>
      </c>
      <c r="G48" s="14" t="s">
        <v>257</v>
      </c>
      <c r="H48" s="14" t="s">
        <v>834</v>
      </c>
      <c r="I48" s="15"/>
      <c r="J48" s="19">
        <v>322.5</v>
      </c>
      <c r="K48" s="14" t="str">
        <f>"182,2125"</f>
        <v>182,2125</v>
      </c>
      <c r="L48" s="14"/>
    </row>
    <row r="49" spans="1:12" ht="12.75">
      <c r="A49" s="14" t="s">
        <v>835</v>
      </c>
      <c r="B49" s="14" t="s">
        <v>836</v>
      </c>
      <c r="C49" s="14" t="s">
        <v>97</v>
      </c>
      <c r="D49" s="14" t="str">
        <f>"0,5765"</f>
        <v>0,5765</v>
      </c>
      <c r="E49" s="14" t="s">
        <v>49</v>
      </c>
      <c r="F49" s="14" t="s">
        <v>33</v>
      </c>
      <c r="G49" s="15" t="s">
        <v>80</v>
      </c>
      <c r="H49" s="14" t="s">
        <v>80</v>
      </c>
      <c r="I49" s="15"/>
      <c r="J49" s="19">
        <v>250</v>
      </c>
      <c r="K49" s="14" t="str">
        <f>"144,1250"</f>
        <v>144,1250</v>
      </c>
      <c r="L49" s="14"/>
    </row>
    <row r="50" spans="1:12" ht="12.75">
      <c r="A50" s="14" t="s">
        <v>837</v>
      </c>
      <c r="B50" s="14" t="s">
        <v>838</v>
      </c>
      <c r="C50" s="14" t="s">
        <v>609</v>
      </c>
      <c r="D50" s="14" t="str">
        <f>"0,5635"</f>
        <v>0,5635</v>
      </c>
      <c r="E50" s="14" t="s">
        <v>39</v>
      </c>
      <c r="F50" s="15" t="s">
        <v>44</v>
      </c>
      <c r="G50" s="15" t="s">
        <v>226</v>
      </c>
      <c r="H50" s="15" t="s">
        <v>226</v>
      </c>
      <c r="I50" s="15"/>
      <c r="J50" s="19">
        <v>0</v>
      </c>
      <c r="K50" s="14" t="str">
        <f>"0,0000"</f>
        <v>0,0000</v>
      </c>
      <c r="L50" s="14"/>
    </row>
    <row r="51" spans="1:12" ht="12.75">
      <c r="A51" s="14" t="s">
        <v>839</v>
      </c>
      <c r="B51" s="14" t="s">
        <v>840</v>
      </c>
      <c r="C51" s="14" t="s">
        <v>599</v>
      </c>
      <c r="D51" s="14" t="str">
        <f>"0,6140"</f>
        <v>0,6140</v>
      </c>
      <c r="E51" s="14" t="s">
        <v>49</v>
      </c>
      <c r="F51" s="15" t="s">
        <v>33</v>
      </c>
      <c r="G51" s="15" t="s">
        <v>33</v>
      </c>
      <c r="H51" s="15"/>
      <c r="I51" s="15"/>
      <c r="J51" s="19">
        <v>0</v>
      </c>
      <c r="K51" s="14" t="str">
        <f>"0,0000"</f>
        <v>0,0000</v>
      </c>
      <c r="L51" s="14"/>
    </row>
    <row r="52" spans="1:12" ht="12.75">
      <c r="A52" s="14" t="s">
        <v>841</v>
      </c>
      <c r="B52" s="14" t="s">
        <v>842</v>
      </c>
      <c r="C52" s="14" t="s">
        <v>843</v>
      </c>
      <c r="D52" s="14" t="str">
        <f>"0,7112"</f>
        <v>0,7112</v>
      </c>
      <c r="E52" s="14" t="s">
        <v>49</v>
      </c>
      <c r="F52" s="14" t="s">
        <v>529</v>
      </c>
      <c r="G52" s="14" t="s">
        <v>196</v>
      </c>
      <c r="H52" s="15" t="s">
        <v>140</v>
      </c>
      <c r="I52" s="15"/>
      <c r="J52" s="19">
        <v>170</v>
      </c>
      <c r="K52" s="14" t="str">
        <f>"120,9100"</f>
        <v>120,9100</v>
      </c>
      <c r="L52" s="14"/>
    </row>
    <row r="53" spans="1:12" ht="12.75">
      <c r="A53" s="14" t="s">
        <v>628</v>
      </c>
      <c r="B53" s="14" t="s">
        <v>629</v>
      </c>
      <c r="C53" s="14" t="s">
        <v>630</v>
      </c>
      <c r="D53" s="14" t="str">
        <f>"0,7702"</f>
        <v>0,7702</v>
      </c>
      <c r="E53" s="14" t="s">
        <v>49</v>
      </c>
      <c r="F53" s="14" t="s">
        <v>228</v>
      </c>
      <c r="G53" s="14" t="s">
        <v>88</v>
      </c>
      <c r="H53" s="14" t="s">
        <v>50</v>
      </c>
      <c r="I53" s="14" t="s">
        <v>33</v>
      </c>
      <c r="J53" s="19">
        <v>235</v>
      </c>
      <c r="K53" s="14" t="str">
        <f>"181,0045"</f>
        <v>181,0045</v>
      </c>
      <c r="L53" s="14"/>
    </row>
    <row r="54" spans="1:12" ht="12.75">
      <c r="A54" s="14" t="s">
        <v>844</v>
      </c>
      <c r="B54" s="14" t="s">
        <v>845</v>
      </c>
      <c r="C54" s="14" t="s">
        <v>846</v>
      </c>
      <c r="D54" s="14" t="str">
        <f>"0,7884"</f>
        <v>0,7884</v>
      </c>
      <c r="E54" s="14" t="s">
        <v>49</v>
      </c>
      <c r="F54" s="15" t="s">
        <v>226</v>
      </c>
      <c r="G54" s="15" t="s">
        <v>226</v>
      </c>
      <c r="H54" s="14" t="s">
        <v>226</v>
      </c>
      <c r="I54" s="15"/>
      <c r="J54" s="19">
        <v>220</v>
      </c>
      <c r="K54" s="14" t="str">
        <f>"173,4410"</f>
        <v>173,4410</v>
      </c>
      <c r="L54" s="14" t="s">
        <v>847</v>
      </c>
    </row>
    <row r="55" spans="1:12" ht="12.75">
      <c r="A55" s="14" t="s">
        <v>848</v>
      </c>
      <c r="B55" s="14" t="s">
        <v>849</v>
      </c>
      <c r="C55" s="14" t="s">
        <v>850</v>
      </c>
      <c r="D55" s="14" t="str">
        <f>"0,8435"</f>
        <v>0,8435</v>
      </c>
      <c r="E55" s="14" t="s">
        <v>445</v>
      </c>
      <c r="F55" s="14" t="s">
        <v>140</v>
      </c>
      <c r="G55" s="14" t="s">
        <v>141</v>
      </c>
      <c r="H55" s="15" t="s">
        <v>28</v>
      </c>
      <c r="I55" s="15"/>
      <c r="J55" s="19">
        <v>190</v>
      </c>
      <c r="K55" s="14" t="str">
        <f>"160,2699"</f>
        <v>160,2699</v>
      </c>
      <c r="L55" s="14"/>
    </row>
    <row r="56" spans="1:12" ht="12.75">
      <c r="A56" s="11" t="s">
        <v>95</v>
      </c>
      <c r="B56" s="11" t="s">
        <v>96</v>
      </c>
      <c r="C56" s="11" t="s">
        <v>97</v>
      </c>
      <c r="D56" s="11" t="str">
        <f>"1,0579"</f>
        <v>1,0579</v>
      </c>
      <c r="E56" s="11" t="s">
        <v>98</v>
      </c>
      <c r="F56" s="11" t="s">
        <v>99</v>
      </c>
      <c r="G56" s="12"/>
      <c r="H56" s="12"/>
      <c r="I56" s="12"/>
      <c r="J56" s="18" t="s">
        <v>99</v>
      </c>
      <c r="K56" s="11" t="s">
        <v>851</v>
      </c>
      <c r="L56" s="11"/>
    </row>
    <row r="58" spans="1:11" ht="15">
      <c r="A58" s="48" t="s">
        <v>102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2" ht="12.75">
      <c r="A59" s="9" t="s">
        <v>111</v>
      </c>
      <c r="B59" s="9" t="s">
        <v>112</v>
      </c>
      <c r="C59" s="9" t="s">
        <v>113</v>
      </c>
      <c r="D59" s="9" t="str">
        <f>"0,5530"</f>
        <v>0,5530</v>
      </c>
      <c r="E59" s="9" t="s">
        <v>32</v>
      </c>
      <c r="F59" s="9" t="s">
        <v>247</v>
      </c>
      <c r="G59" s="10" t="s">
        <v>75</v>
      </c>
      <c r="H59" s="10"/>
      <c r="I59" s="10"/>
      <c r="J59" s="17">
        <v>280</v>
      </c>
      <c r="K59" s="9" t="str">
        <f>"154,8400"</f>
        <v>154,8400</v>
      </c>
      <c r="L59" s="9"/>
    </row>
    <row r="60" spans="1:12" ht="12.75">
      <c r="A60" s="14" t="s">
        <v>852</v>
      </c>
      <c r="B60" s="14" t="s">
        <v>853</v>
      </c>
      <c r="C60" s="14" t="s">
        <v>854</v>
      </c>
      <c r="D60" s="14" t="str">
        <f>"0,5480"</f>
        <v>0,5480</v>
      </c>
      <c r="E60" s="14" t="s">
        <v>49</v>
      </c>
      <c r="F60" s="14" t="s">
        <v>33</v>
      </c>
      <c r="G60" s="15" t="s">
        <v>80</v>
      </c>
      <c r="H60" s="14" t="s">
        <v>89</v>
      </c>
      <c r="I60" s="15"/>
      <c r="J60" s="19">
        <v>255</v>
      </c>
      <c r="K60" s="14" t="str">
        <f>"139,7400"</f>
        <v>139,7400</v>
      </c>
      <c r="L60" s="14"/>
    </row>
    <row r="61" spans="1:12" ht="12.75">
      <c r="A61" s="14" t="s">
        <v>855</v>
      </c>
      <c r="B61" s="14" t="s">
        <v>856</v>
      </c>
      <c r="C61" s="14" t="s">
        <v>857</v>
      </c>
      <c r="D61" s="14" t="str">
        <f>"0,5595"</f>
        <v>0,5595</v>
      </c>
      <c r="E61" s="14" t="s">
        <v>39</v>
      </c>
      <c r="F61" s="14" t="s">
        <v>33</v>
      </c>
      <c r="G61" s="14" t="s">
        <v>80</v>
      </c>
      <c r="H61" s="14" t="s">
        <v>52</v>
      </c>
      <c r="I61" s="15"/>
      <c r="J61" s="19">
        <v>252.5</v>
      </c>
      <c r="K61" s="14" t="str">
        <f>"141,2737"</f>
        <v>141,2737</v>
      </c>
      <c r="L61" s="14"/>
    </row>
    <row r="62" spans="1:12" ht="12.75">
      <c r="A62" s="14" t="s">
        <v>858</v>
      </c>
      <c r="B62" s="14" t="s">
        <v>859</v>
      </c>
      <c r="C62" s="14" t="s">
        <v>860</v>
      </c>
      <c r="D62" s="14" t="str">
        <f>"0,5562"</f>
        <v>0,5562</v>
      </c>
      <c r="E62" s="14" t="s">
        <v>49</v>
      </c>
      <c r="F62" s="14" t="s">
        <v>88</v>
      </c>
      <c r="G62" s="14" t="s">
        <v>33</v>
      </c>
      <c r="H62" s="14" t="s">
        <v>80</v>
      </c>
      <c r="I62" s="15"/>
      <c r="J62" s="19">
        <v>250</v>
      </c>
      <c r="K62" s="14" t="str">
        <f>"139,0625"</f>
        <v>139,0625</v>
      </c>
      <c r="L62" s="14"/>
    </row>
    <row r="63" spans="1:12" ht="12.75">
      <c r="A63" s="14" t="s">
        <v>861</v>
      </c>
      <c r="B63" s="14" t="s">
        <v>862</v>
      </c>
      <c r="C63" s="14" t="s">
        <v>863</v>
      </c>
      <c r="D63" s="14" t="str">
        <f>"0,5501"</f>
        <v>0,5501</v>
      </c>
      <c r="E63" s="14" t="s">
        <v>49</v>
      </c>
      <c r="F63" s="15" t="s">
        <v>114</v>
      </c>
      <c r="G63" s="15" t="s">
        <v>114</v>
      </c>
      <c r="H63" s="15" t="s">
        <v>114</v>
      </c>
      <c r="I63" s="15"/>
      <c r="J63" s="19">
        <v>0</v>
      </c>
      <c r="K63" s="14" t="str">
        <f>"0,0000"</f>
        <v>0,0000</v>
      </c>
      <c r="L63" s="14"/>
    </row>
    <row r="64" spans="1:12" ht="12.75">
      <c r="A64" s="14" t="s">
        <v>858</v>
      </c>
      <c r="B64" s="14" t="s">
        <v>864</v>
      </c>
      <c r="C64" s="14" t="s">
        <v>860</v>
      </c>
      <c r="D64" s="14" t="str">
        <f>"0,5674"</f>
        <v>0,5674</v>
      </c>
      <c r="E64" s="14" t="s">
        <v>49</v>
      </c>
      <c r="F64" s="14" t="s">
        <v>88</v>
      </c>
      <c r="G64" s="14" t="s">
        <v>33</v>
      </c>
      <c r="H64" s="14" t="s">
        <v>80</v>
      </c>
      <c r="I64" s="15"/>
      <c r="J64" s="19">
        <v>250</v>
      </c>
      <c r="K64" s="14" t="str">
        <f>"141,8438"</f>
        <v>141,8438</v>
      </c>
      <c r="L64" s="14"/>
    </row>
    <row r="65" spans="1:12" ht="12.75">
      <c r="A65" s="11" t="s">
        <v>103</v>
      </c>
      <c r="B65" s="11" t="s">
        <v>116</v>
      </c>
      <c r="C65" s="11" t="s">
        <v>105</v>
      </c>
      <c r="D65" s="11" t="str">
        <f>"0,6022"</f>
        <v>0,6022</v>
      </c>
      <c r="E65" s="11" t="s">
        <v>49</v>
      </c>
      <c r="F65" s="12" t="s">
        <v>247</v>
      </c>
      <c r="G65" s="12" t="s">
        <v>45</v>
      </c>
      <c r="H65" s="12"/>
      <c r="I65" s="12"/>
      <c r="J65" s="18">
        <v>0</v>
      </c>
      <c r="K65" s="11" t="str">
        <f>"0,0000"</f>
        <v>0,0000</v>
      </c>
      <c r="L65" s="11"/>
    </row>
    <row r="67" spans="1:11" ht="15">
      <c r="A67" s="48" t="s">
        <v>125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2" ht="12.75">
      <c r="A68" s="9" t="s">
        <v>865</v>
      </c>
      <c r="B68" s="9" t="s">
        <v>866</v>
      </c>
      <c r="C68" s="9" t="s">
        <v>867</v>
      </c>
      <c r="D68" s="9" t="str">
        <f>"0,5374"</f>
        <v>0,5374</v>
      </c>
      <c r="E68" s="9" t="s">
        <v>219</v>
      </c>
      <c r="F68" s="9" t="s">
        <v>84</v>
      </c>
      <c r="G68" s="10"/>
      <c r="H68" s="10"/>
      <c r="I68" s="10"/>
      <c r="J68" s="17" t="s">
        <v>868</v>
      </c>
      <c r="K68" s="9" t="s">
        <v>869</v>
      </c>
      <c r="L68" s="9"/>
    </row>
    <row r="69" spans="1:12" ht="12.75">
      <c r="A69" s="11" t="s">
        <v>870</v>
      </c>
      <c r="B69" s="11" t="s">
        <v>871</v>
      </c>
      <c r="C69" s="11" t="s">
        <v>872</v>
      </c>
      <c r="D69" s="11" t="str">
        <f>"0,8062"</f>
        <v>0,8062</v>
      </c>
      <c r="E69" s="11" t="s">
        <v>32</v>
      </c>
      <c r="F69" s="12" t="s">
        <v>88</v>
      </c>
      <c r="G69" s="12" t="s">
        <v>88</v>
      </c>
      <c r="H69" s="12" t="s">
        <v>88</v>
      </c>
      <c r="I69" s="12"/>
      <c r="J69" s="18">
        <v>0</v>
      </c>
      <c r="K69" s="11" t="str">
        <f>"0,0000"</f>
        <v>0,0000</v>
      </c>
      <c r="L69" s="11"/>
    </row>
    <row r="71" spans="1:11" ht="15">
      <c r="A71" s="48" t="s">
        <v>136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2" ht="12.75">
      <c r="A72" s="9" t="s">
        <v>873</v>
      </c>
      <c r="B72" s="9" t="s">
        <v>874</v>
      </c>
      <c r="C72" s="9" t="s">
        <v>875</v>
      </c>
      <c r="D72" s="9" t="str">
        <f>"0,5306"</f>
        <v>0,5306</v>
      </c>
      <c r="E72" s="9" t="s">
        <v>219</v>
      </c>
      <c r="F72" s="9" t="s">
        <v>242</v>
      </c>
      <c r="G72" s="9" t="s">
        <v>876</v>
      </c>
      <c r="H72" s="9" t="s">
        <v>63</v>
      </c>
      <c r="I72" s="10" t="s">
        <v>263</v>
      </c>
      <c r="J72" s="17">
        <v>345</v>
      </c>
      <c r="K72" s="9" t="str">
        <f>"183,0708"</f>
        <v>183,0708</v>
      </c>
      <c r="L72" s="9"/>
    </row>
    <row r="73" spans="1:12" ht="12.75">
      <c r="A73" s="11" t="s">
        <v>877</v>
      </c>
      <c r="B73" s="11" t="s">
        <v>878</v>
      </c>
      <c r="C73" s="11" t="s">
        <v>785</v>
      </c>
      <c r="D73" s="11" t="str">
        <f>"0,5115"</f>
        <v>0,5115</v>
      </c>
      <c r="E73" s="11" t="s">
        <v>61</v>
      </c>
      <c r="F73" s="12" t="s">
        <v>117</v>
      </c>
      <c r="G73" s="11" t="s">
        <v>117</v>
      </c>
      <c r="H73" s="11" t="s">
        <v>118</v>
      </c>
      <c r="I73" s="12"/>
      <c r="J73" s="18">
        <v>320</v>
      </c>
      <c r="K73" s="11" t="str">
        <f>"163,6688"</f>
        <v>163,6688</v>
      </c>
      <c r="L73" s="11"/>
    </row>
    <row r="75" ht="15">
      <c r="E75" s="20" t="s">
        <v>148</v>
      </c>
    </row>
    <row r="76" ht="15">
      <c r="E76" s="20" t="s">
        <v>149</v>
      </c>
    </row>
    <row r="77" ht="15">
      <c r="E77" s="20" t="s">
        <v>150</v>
      </c>
    </row>
    <row r="82" spans="1:2" ht="18">
      <c r="A82" s="21" t="s">
        <v>154</v>
      </c>
      <c r="B82" s="21"/>
    </row>
    <row r="83" spans="1:2" ht="15">
      <c r="A83" s="22" t="s">
        <v>270</v>
      </c>
      <c r="B83" s="22"/>
    </row>
    <row r="84" spans="1:2" ht="14.25">
      <c r="A84" s="23" t="s">
        <v>156</v>
      </c>
      <c r="B84" s="24"/>
    </row>
    <row r="85" spans="1:5" ht="15">
      <c r="A85" s="25" t="s">
        <v>1</v>
      </c>
      <c r="B85" s="25" t="s">
        <v>157</v>
      </c>
      <c r="C85" s="25" t="s">
        <v>158</v>
      </c>
      <c r="D85" s="25" t="s">
        <v>7</v>
      </c>
      <c r="E85" s="25" t="s">
        <v>159</v>
      </c>
    </row>
    <row r="86" spans="1:5" ht="12.75">
      <c r="A86" s="26" t="s">
        <v>791</v>
      </c>
      <c r="B86" s="6" t="s">
        <v>156</v>
      </c>
      <c r="C86" s="6" t="s">
        <v>164</v>
      </c>
      <c r="D86" s="6" t="s">
        <v>210</v>
      </c>
      <c r="E86" s="27" t="s">
        <v>879</v>
      </c>
    </row>
    <row r="87" spans="1:5" ht="12.75">
      <c r="A87" s="26" t="s">
        <v>787</v>
      </c>
      <c r="B87" s="6" t="s">
        <v>156</v>
      </c>
      <c r="C87" s="6" t="s">
        <v>296</v>
      </c>
      <c r="D87" s="6" t="s">
        <v>456</v>
      </c>
      <c r="E87" s="27" t="s">
        <v>880</v>
      </c>
    </row>
    <row r="89" spans="1:2" ht="14.25">
      <c r="A89" s="23" t="s">
        <v>178</v>
      </c>
      <c r="B89" s="24"/>
    </row>
    <row r="90" spans="1:5" ht="15">
      <c r="A90" s="25" t="s">
        <v>1</v>
      </c>
      <c r="B90" s="25" t="s">
        <v>157</v>
      </c>
      <c r="C90" s="25" t="s">
        <v>158</v>
      </c>
      <c r="D90" s="25" t="s">
        <v>7</v>
      </c>
      <c r="E90" s="25" t="s">
        <v>159</v>
      </c>
    </row>
    <row r="91" spans="1:5" ht="12.75">
      <c r="A91" s="26" t="s">
        <v>358</v>
      </c>
      <c r="B91" s="6" t="s">
        <v>187</v>
      </c>
      <c r="C91" s="6" t="s">
        <v>277</v>
      </c>
      <c r="D91" s="6" t="s">
        <v>233</v>
      </c>
      <c r="E91" s="27" t="s">
        <v>881</v>
      </c>
    </row>
    <row r="94" spans="1:2" ht="15">
      <c r="A94" s="22" t="s">
        <v>155</v>
      </c>
      <c r="B94" s="22"/>
    </row>
    <row r="95" spans="1:2" ht="14.25">
      <c r="A95" s="23" t="s">
        <v>271</v>
      </c>
      <c r="B95" s="24"/>
    </row>
    <row r="96" spans="1:5" ht="15">
      <c r="A96" s="25" t="s">
        <v>1</v>
      </c>
      <c r="B96" s="25" t="s">
        <v>157</v>
      </c>
      <c r="C96" s="25" t="s">
        <v>158</v>
      </c>
      <c r="D96" s="25" t="s">
        <v>7</v>
      </c>
      <c r="E96" s="25" t="s">
        <v>159</v>
      </c>
    </row>
    <row r="97" spans="1:5" ht="12.75">
      <c r="A97" s="26" t="s">
        <v>248</v>
      </c>
      <c r="B97" s="6" t="s">
        <v>272</v>
      </c>
      <c r="C97" s="6" t="s">
        <v>163</v>
      </c>
      <c r="D97" s="6" t="s">
        <v>124</v>
      </c>
      <c r="E97" s="27" t="s">
        <v>882</v>
      </c>
    </row>
    <row r="99" spans="1:2" ht="14.25">
      <c r="A99" s="23" t="s">
        <v>274</v>
      </c>
      <c r="B99" s="24"/>
    </row>
    <row r="100" spans="1:5" ht="15">
      <c r="A100" s="25" t="s">
        <v>1</v>
      </c>
      <c r="B100" s="25" t="s">
        <v>157</v>
      </c>
      <c r="C100" s="25" t="s">
        <v>158</v>
      </c>
      <c r="D100" s="25" t="s">
        <v>7</v>
      </c>
      <c r="E100" s="25" t="s">
        <v>159</v>
      </c>
    </row>
    <row r="101" spans="1:5" ht="12.75">
      <c r="A101" s="26" t="s">
        <v>434</v>
      </c>
      <c r="B101" s="6" t="s">
        <v>275</v>
      </c>
      <c r="C101" s="6" t="s">
        <v>164</v>
      </c>
      <c r="D101" s="6" t="s">
        <v>141</v>
      </c>
      <c r="E101" s="27" t="s">
        <v>883</v>
      </c>
    </row>
    <row r="102" spans="1:5" ht="12.75">
      <c r="A102" s="26" t="s">
        <v>794</v>
      </c>
      <c r="B102" s="6" t="s">
        <v>275</v>
      </c>
      <c r="C102" s="6" t="s">
        <v>297</v>
      </c>
      <c r="D102" s="6" t="s">
        <v>364</v>
      </c>
      <c r="E102" s="27" t="s">
        <v>884</v>
      </c>
    </row>
    <row r="104" spans="1:2" ht="14.25">
      <c r="A104" s="23" t="s">
        <v>156</v>
      </c>
      <c r="B104" s="24"/>
    </row>
    <row r="105" spans="1:5" ht="15">
      <c r="A105" s="25" t="s">
        <v>1</v>
      </c>
      <c r="B105" s="25" t="s">
        <v>157</v>
      </c>
      <c r="C105" s="25" t="s">
        <v>158</v>
      </c>
      <c r="D105" s="25" t="s">
        <v>7</v>
      </c>
      <c r="E105" s="25" t="s">
        <v>159</v>
      </c>
    </row>
    <row r="106" spans="1:5" ht="12.75">
      <c r="A106" s="26" t="s">
        <v>873</v>
      </c>
      <c r="B106" s="6" t="s">
        <v>156</v>
      </c>
      <c r="C106" s="6" t="s">
        <v>185</v>
      </c>
      <c r="D106" s="6" t="s">
        <v>63</v>
      </c>
      <c r="E106" s="27" t="s">
        <v>885</v>
      </c>
    </row>
    <row r="107" spans="1:5" ht="12.75">
      <c r="A107" s="26" t="s">
        <v>831</v>
      </c>
      <c r="B107" s="6" t="s">
        <v>156</v>
      </c>
      <c r="C107" s="6" t="s">
        <v>163</v>
      </c>
      <c r="D107" s="6" t="s">
        <v>253</v>
      </c>
      <c r="E107" s="27" t="s">
        <v>886</v>
      </c>
    </row>
    <row r="108" spans="1:5" ht="12.75">
      <c r="A108" s="26" t="s">
        <v>877</v>
      </c>
      <c r="B108" s="6" t="s">
        <v>156</v>
      </c>
      <c r="C108" s="6" t="s">
        <v>185</v>
      </c>
      <c r="D108" s="6" t="s">
        <v>118</v>
      </c>
      <c r="E108" s="27" t="s">
        <v>887</v>
      </c>
    </row>
    <row r="109" spans="1:5" ht="12.75">
      <c r="A109" s="26" t="s">
        <v>821</v>
      </c>
      <c r="B109" s="6" t="s">
        <v>156</v>
      </c>
      <c r="C109" s="6" t="s">
        <v>172</v>
      </c>
      <c r="D109" s="6" t="s">
        <v>247</v>
      </c>
      <c r="E109" s="27" t="s">
        <v>888</v>
      </c>
    </row>
    <row r="110" spans="1:5" ht="12.75">
      <c r="A110" s="26" t="s">
        <v>865</v>
      </c>
      <c r="B110" s="6" t="s">
        <v>156</v>
      </c>
      <c r="C110" s="6" t="s">
        <v>160</v>
      </c>
      <c r="D110" s="30" t="s">
        <v>84</v>
      </c>
      <c r="E110" s="31" t="s">
        <v>869</v>
      </c>
    </row>
    <row r="111" spans="1:5" ht="12.75">
      <c r="A111" s="26" t="s">
        <v>775</v>
      </c>
      <c r="B111" s="6" t="s">
        <v>156</v>
      </c>
      <c r="C111" s="6" t="s">
        <v>277</v>
      </c>
      <c r="D111" s="6" t="s">
        <v>135</v>
      </c>
      <c r="E111" s="27" t="s">
        <v>889</v>
      </c>
    </row>
    <row r="112" spans="1:5" ht="12.75">
      <c r="A112" s="26" t="s">
        <v>825</v>
      </c>
      <c r="B112" s="6" t="s">
        <v>156</v>
      </c>
      <c r="C112" s="6" t="s">
        <v>172</v>
      </c>
      <c r="D112" s="6" t="s">
        <v>22</v>
      </c>
      <c r="E112" s="27" t="s">
        <v>890</v>
      </c>
    </row>
    <row r="113" spans="1:5" ht="12.75">
      <c r="A113" s="26" t="s">
        <v>111</v>
      </c>
      <c r="B113" s="6" t="s">
        <v>156</v>
      </c>
      <c r="C113" s="6" t="s">
        <v>167</v>
      </c>
      <c r="D113" s="6" t="s">
        <v>247</v>
      </c>
      <c r="E113" s="27" t="s">
        <v>891</v>
      </c>
    </row>
    <row r="114" spans="1:5" ht="12.75">
      <c r="A114" s="26" t="s">
        <v>29</v>
      </c>
      <c r="B114" s="6" t="s">
        <v>156</v>
      </c>
      <c r="C114" s="6" t="s">
        <v>164</v>
      </c>
      <c r="D114" s="6" t="s">
        <v>88</v>
      </c>
      <c r="E114" s="27" t="s">
        <v>892</v>
      </c>
    </row>
    <row r="115" spans="1:5" ht="12.75">
      <c r="A115" s="26" t="s">
        <v>835</v>
      </c>
      <c r="B115" s="6" t="s">
        <v>156</v>
      </c>
      <c r="C115" s="6" t="s">
        <v>163</v>
      </c>
      <c r="D115" s="6" t="s">
        <v>80</v>
      </c>
      <c r="E115" s="27" t="s">
        <v>893</v>
      </c>
    </row>
    <row r="116" spans="1:5" ht="12.75">
      <c r="A116" s="26" t="s">
        <v>855</v>
      </c>
      <c r="B116" s="6" t="s">
        <v>156</v>
      </c>
      <c r="C116" s="6" t="s">
        <v>167</v>
      </c>
      <c r="D116" s="6" t="s">
        <v>52</v>
      </c>
      <c r="E116" s="27" t="s">
        <v>894</v>
      </c>
    </row>
    <row r="117" spans="1:5" ht="12.75">
      <c r="A117" s="26" t="s">
        <v>540</v>
      </c>
      <c r="B117" s="6" t="s">
        <v>156</v>
      </c>
      <c r="C117" s="6" t="s">
        <v>172</v>
      </c>
      <c r="D117" s="6" t="s">
        <v>33</v>
      </c>
      <c r="E117" s="27" t="s">
        <v>895</v>
      </c>
    </row>
    <row r="118" spans="1:5" ht="12.75">
      <c r="A118" s="26" t="s">
        <v>852</v>
      </c>
      <c r="B118" s="6" t="s">
        <v>156</v>
      </c>
      <c r="C118" s="6" t="s">
        <v>167</v>
      </c>
      <c r="D118" s="6" t="s">
        <v>89</v>
      </c>
      <c r="E118" s="27" t="s">
        <v>896</v>
      </c>
    </row>
    <row r="119" spans="1:5" ht="12.75">
      <c r="A119" s="26" t="s">
        <v>858</v>
      </c>
      <c r="B119" s="6" t="s">
        <v>156</v>
      </c>
      <c r="C119" s="6" t="s">
        <v>167</v>
      </c>
      <c r="D119" s="6" t="s">
        <v>80</v>
      </c>
      <c r="E119" s="27" t="s">
        <v>897</v>
      </c>
    </row>
    <row r="120" spans="1:5" ht="12.75">
      <c r="A120" s="26" t="s">
        <v>815</v>
      </c>
      <c r="B120" s="6" t="s">
        <v>156</v>
      </c>
      <c r="C120" s="6" t="s">
        <v>170</v>
      </c>
      <c r="D120" s="6" t="s">
        <v>226</v>
      </c>
      <c r="E120" s="27" t="s">
        <v>898</v>
      </c>
    </row>
    <row r="121" spans="1:5" ht="12.75">
      <c r="A121" s="26" t="s">
        <v>779</v>
      </c>
      <c r="B121" s="6" t="s">
        <v>156</v>
      </c>
      <c r="C121" s="6" t="s">
        <v>164</v>
      </c>
      <c r="D121" s="6" t="s">
        <v>190</v>
      </c>
      <c r="E121" s="27" t="s">
        <v>899</v>
      </c>
    </row>
    <row r="123" spans="1:2" ht="14.25">
      <c r="A123" s="23" t="s">
        <v>178</v>
      </c>
      <c r="B123" s="24"/>
    </row>
    <row r="124" spans="1:5" ht="15">
      <c r="A124" s="25" t="s">
        <v>1</v>
      </c>
      <c r="B124" s="25" t="s">
        <v>157</v>
      </c>
      <c r="C124" s="25" t="s">
        <v>158</v>
      </c>
      <c r="D124" s="25" t="s">
        <v>7</v>
      </c>
      <c r="E124" s="25" t="s">
        <v>159</v>
      </c>
    </row>
    <row r="125" spans="1:5" ht="12.75">
      <c r="A125" s="26" t="s">
        <v>628</v>
      </c>
      <c r="B125" s="6" t="s">
        <v>276</v>
      </c>
      <c r="C125" s="6" t="s">
        <v>163</v>
      </c>
      <c r="D125" s="6" t="s">
        <v>50</v>
      </c>
      <c r="E125" s="27" t="s">
        <v>900</v>
      </c>
    </row>
    <row r="126" spans="1:5" ht="12.75">
      <c r="A126" s="26" t="s">
        <v>802</v>
      </c>
      <c r="B126" s="6" t="s">
        <v>181</v>
      </c>
      <c r="C126" s="6" t="s">
        <v>164</v>
      </c>
      <c r="D126" s="6" t="s">
        <v>245</v>
      </c>
      <c r="E126" s="27" t="s">
        <v>901</v>
      </c>
    </row>
    <row r="127" spans="1:5" ht="12.75">
      <c r="A127" s="26" t="s">
        <v>844</v>
      </c>
      <c r="B127" s="6" t="s">
        <v>276</v>
      </c>
      <c r="C127" s="6" t="s">
        <v>163</v>
      </c>
      <c r="D127" s="6" t="s">
        <v>226</v>
      </c>
      <c r="E127" s="27" t="s">
        <v>902</v>
      </c>
    </row>
    <row r="128" spans="1:5" ht="12.75">
      <c r="A128" s="26" t="s">
        <v>821</v>
      </c>
      <c r="B128" s="6" t="s">
        <v>279</v>
      </c>
      <c r="C128" s="6" t="s">
        <v>172</v>
      </c>
      <c r="D128" s="6" t="s">
        <v>247</v>
      </c>
      <c r="E128" s="27" t="s">
        <v>903</v>
      </c>
    </row>
    <row r="129" spans="1:5" ht="12.75">
      <c r="A129" s="26" t="s">
        <v>848</v>
      </c>
      <c r="B129" s="6" t="s">
        <v>283</v>
      </c>
      <c r="C129" s="6" t="s">
        <v>163</v>
      </c>
      <c r="D129" s="6" t="s">
        <v>141</v>
      </c>
      <c r="E129" s="27" t="s">
        <v>904</v>
      </c>
    </row>
    <row r="130" spans="1:5" ht="12.75">
      <c r="A130" s="26" t="s">
        <v>540</v>
      </c>
      <c r="B130" s="6" t="s">
        <v>279</v>
      </c>
      <c r="C130" s="6" t="s">
        <v>172</v>
      </c>
      <c r="D130" s="6" t="s">
        <v>33</v>
      </c>
      <c r="E130" s="27" t="s">
        <v>905</v>
      </c>
    </row>
    <row r="131" spans="1:5" ht="12.75">
      <c r="A131" s="26" t="s">
        <v>858</v>
      </c>
      <c r="B131" s="6" t="s">
        <v>279</v>
      </c>
      <c r="C131" s="6" t="s">
        <v>167</v>
      </c>
      <c r="D131" s="6" t="s">
        <v>80</v>
      </c>
      <c r="E131" s="27" t="s">
        <v>906</v>
      </c>
    </row>
    <row r="132" spans="1:5" ht="12.75">
      <c r="A132" s="26" t="s">
        <v>469</v>
      </c>
      <c r="B132" s="6" t="s">
        <v>762</v>
      </c>
      <c r="C132" s="6" t="s">
        <v>164</v>
      </c>
      <c r="D132" s="6" t="s">
        <v>350</v>
      </c>
      <c r="E132" s="27" t="s">
        <v>907</v>
      </c>
    </row>
    <row r="133" spans="1:5" ht="12.75">
      <c r="A133" s="26" t="s">
        <v>799</v>
      </c>
      <c r="B133" s="6" t="s">
        <v>187</v>
      </c>
      <c r="C133" s="6" t="s">
        <v>164</v>
      </c>
      <c r="D133" s="6" t="s">
        <v>202</v>
      </c>
      <c r="E133" s="27" t="s">
        <v>908</v>
      </c>
    </row>
    <row r="134" spans="1:5" ht="12.75">
      <c r="A134" s="26" t="s">
        <v>415</v>
      </c>
      <c r="B134" s="6" t="s">
        <v>179</v>
      </c>
      <c r="C134" s="6" t="s">
        <v>277</v>
      </c>
      <c r="D134" s="6" t="s">
        <v>196</v>
      </c>
      <c r="E134" s="27" t="s">
        <v>909</v>
      </c>
    </row>
    <row r="135" spans="1:5" ht="12.75">
      <c r="A135" s="26" t="s">
        <v>841</v>
      </c>
      <c r="B135" s="6" t="s">
        <v>181</v>
      </c>
      <c r="C135" s="6" t="s">
        <v>163</v>
      </c>
      <c r="D135" s="6" t="s">
        <v>196</v>
      </c>
      <c r="E135" s="27" t="s">
        <v>910</v>
      </c>
    </row>
  </sheetData>
  <sheetProtection selectLockedCells="1" selectUnlockedCells="1"/>
  <mergeCells count="22">
    <mergeCell ref="L3:L4"/>
    <mergeCell ref="A1:L2"/>
    <mergeCell ref="A58:K58"/>
    <mergeCell ref="A67:K67"/>
    <mergeCell ref="A71:K71"/>
    <mergeCell ref="A3:A4"/>
    <mergeCell ref="B3:B4"/>
    <mergeCell ref="C3:C4"/>
    <mergeCell ref="D3:D4"/>
    <mergeCell ref="E3:E4"/>
    <mergeCell ref="J3:J4"/>
    <mergeCell ref="K3:K4"/>
    <mergeCell ref="A17:K17"/>
    <mergeCell ref="A21:K21"/>
    <mergeCell ref="A31:K31"/>
    <mergeCell ref="A38:K38"/>
    <mergeCell ref="A46:K46"/>
    <mergeCell ref="F3:I3"/>
    <mergeCell ref="A5:K5"/>
    <mergeCell ref="A8:K8"/>
    <mergeCell ref="A11:K11"/>
    <mergeCell ref="A14:K14"/>
  </mergeCells>
  <printOptions/>
  <pageMargins left="0.75" right="0.75" top="0.979861111111111" bottom="0.979861111111111" header="0.509722222222222" footer="0.509722222222222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</dc:creator>
  <cp:keywords/>
  <dc:description/>
  <cp:lastModifiedBy>Girard</cp:lastModifiedBy>
  <cp:lastPrinted>2008-02-22T21:19:54Z</cp:lastPrinted>
  <dcterms:created xsi:type="dcterms:W3CDTF">2002-06-16T13:36:44Z</dcterms:created>
  <dcterms:modified xsi:type="dcterms:W3CDTF">2017-11-18T08:21:17Z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