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40" tabRatio="836" firstSheet="4" activeTab="8"/>
  </bookViews>
  <sheets>
    <sheet name="WRPF BP Raw DT" sheetId="1" r:id="rId1"/>
    <sheet name="WRPF BP Raw" sheetId="2" r:id="rId2"/>
    <sheet name="WEPF BP SP DT" sheetId="3" r:id="rId3"/>
    <sheet name="WEPF BP SP" sheetId="4" r:id="rId4"/>
    <sheet name="WEPF BP MP" sheetId="5" r:id="rId5"/>
    <sheet name="WEPF BP Soft St DT" sheetId="6" r:id="rId6"/>
    <sheet name="WEPF BP Soft St" sheetId="7" r:id="rId7"/>
    <sheet name="WEPF BP Ultra" sheetId="8" r:id="rId8"/>
    <sheet name="WRPF BP APF" sheetId="9" r:id="rId9"/>
  </sheets>
  <definedNames/>
  <calcPr fullCalcOnLoad="1"/>
</workbook>
</file>

<file path=xl/sharedStrings.xml><?xml version="1.0" encoding="utf-8"?>
<sst xmlns="http://schemas.openxmlformats.org/spreadsheetml/2006/main" count="3044" uniqueCount="1039">
  <si>
    <t>Place</t>
  </si>
  <si>
    <t>Name</t>
  </si>
  <si>
    <t>Age Class
DOB/Age</t>
  </si>
  <si>
    <t>Own 
bodyweight</t>
  </si>
  <si>
    <t>Wilks</t>
  </si>
  <si>
    <t>Country</t>
  </si>
  <si>
    <t>City</t>
  </si>
  <si>
    <t>Bench Press</t>
  </si>
  <si>
    <t>Points</t>
  </si>
  <si>
    <t>Coach</t>
  </si>
  <si>
    <t>Rec</t>
  </si>
  <si>
    <t>WEIGHT CLASS   48</t>
  </si>
  <si>
    <t>1</t>
  </si>
  <si>
    <t>Russia</t>
  </si>
  <si>
    <t xml:space="preserve">Tikhvin </t>
  </si>
  <si>
    <t>67,5</t>
  </si>
  <si>
    <t>75,0</t>
  </si>
  <si>
    <t>85,0</t>
  </si>
  <si>
    <t>42,5</t>
  </si>
  <si>
    <t>45,0</t>
  </si>
  <si>
    <t>47,5</t>
  </si>
  <si>
    <t>87,5</t>
  </si>
  <si>
    <t>95,0</t>
  </si>
  <si>
    <t>100,0</t>
  </si>
  <si>
    <t xml:space="preserve">Sоkоlоv А. </t>
  </si>
  <si>
    <t>70,0</t>
  </si>
  <si>
    <t>80,0</t>
  </si>
  <si>
    <t>40,0</t>
  </si>
  <si>
    <t>105,0</t>
  </si>
  <si>
    <t/>
  </si>
  <si>
    <t>WEIGHT CLASS   52</t>
  </si>
  <si>
    <t>Fоmichеvа Маrgаritа</t>
  </si>
  <si>
    <t>Open (16.06.1991)/27</t>
  </si>
  <si>
    <t>50,60</t>
  </si>
  <si>
    <t xml:space="preserve">Cherepovets </t>
  </si>
  <si>
    <t>50,0</t>
  </si>
  <si>
    <t>55,0</t>
  </si>
  <si>
    <t>97,5</t>
  </si>
  <si>
    <t xml:space="preserve">Bоrоdin D. </t>
  </si>
  <si>
    <t>WEIGHT CLASS   60</t>
  </si>
  <si>
    <t>60,00</t>
  </si>
  <si>
    <t>90,0</t>
  </si>
  <si>
    <t>57,5</t>
  </si>
  <si>
    <t>60,0</t>
  </si>
  <si>
    <t>62,5</t>
  </si>
  <si>
    <t>122,5</t>
  </si>
  <si>
    <t>130,0</t>
  </si>
  <si>
    <t xml:space="preserve"> </t>
  </si>
  <si>
    <t>2</t>
  </si>
  <si>
    <t>92,5</t>
  </si>
  <si>
    <t>3</t>
  </si>
  <si>
    <t>58,50</t>
  </si>
  <si>
    <t xml:space="preserve">Saint Petersburg </t>
  </si>
  <si>
    <t>52,5</t>
  </si>
  <si>
    <t>WEIGHT CLASS   67.5</t>
  </si>
  <si>
    <t>110,0</t>
  </si>
  <si>
    <t>135,0</t>
  </si>
  <si>
    <t>117,5</t>
  </si>
  <si>
    <t>65,0</t>
  </si>
  <si>
    <t>125,0</t>
  </si>
  <si>
    <t>142,5</t>
  </si>
  <si>
    <t xml:space="preserve">Azerbaijan </t>
  </si>
  <si>
    <t>160,0</t>
  </si>
  <si>
    <t>170,0</t>
  </si>
  <si>
    <t>205,0</t>
  </si>
  <si>
    <t>220,0</t>
  </si>
  <si>
    <t>Bayramov S.</t>
  </si>
  <si>
    <t>59,60</t>
  </si>
  <si>
    <t>115,0</t>
  </si>
  <si>
    <t>82,5</t>
  </si>
  <si>
    <t>155,0</t>
  </si>
  <si>
    <t>165,0</t>
  </si>
  <si>
    <t>65,60</t>
  </si>
  <si>
    <t>120,0</t>
  </si>
  <si>
    <t>132,5</t>
  </si>
  <si>
    <t>140,0</t>
  </si>
  <si>
    <t>66,30</t>
  </si>
  <si>
    <t>180,0</t>
  </si>
  <si>
    <t>190,0</t>
  </si>
  <si>
    <t>145,0</t>
  </si>
  <si>
    <t>65,40</t>
  </si>
  <si>
    <t>127,5</t>
  </si>
  <si>
    <t>WEIGHT CLASS   75</t>
  </si>
  <si>
    <t>150,0</t>
  </si>
  <si>
    <t>175,0</t>
  </si>
  <si>
    <t>200,0</t>
  </si>
  <si>
    <t>210,0</t>
  </si>
  <si>
    <t>225,0</t>
  </si>
  <si>
    <t xml:space="preserve">Lugansk </t>
  </si>
  <si>
    <t>182,5</t>
  </si>
  <si>
    <t>230,0</t>
  </si>
  <si>
    <t>250,0</t>
  </si>
  <si>
    <t>265,0</t>
  </si>
  <si>
    <t>195,0</t>
  </si>
  <si>
    <t>222,5</t>
  </si>
  <si>
    <t>72,40</t>
  </si>
  <si>
    <t>185,0</t>
  </si>
  <si>
    <t>Belarus</t>
  </si>
  <si>
    <t>217,5</t>
  </si>
  <si>
    <t>245,0</t>
  </si>
  <si>
    <t>255,0</t>
  </si>
  <si>
    <t>4</t>
  </si>
  <si>
    <t>-</t>
  </si>
  <si>
    <t>Estonia</t>
  </si>
  <si>
    <t>Tallin</t>
  </si>
  <si>
    <t>WEIGHT CLASS   82.5</t>
  </si>
  <si>
    <t>81,90</t>
  </si>
  <si>
    <t>235,0</t>
  </si>
  <si>
    <t xml:space="preserve">Yakutsk </t>
  </si>
  <si>
    <t>79,50</t>
  </si>
  <si>
    <t>215,0</t>
  </si>
  <si>
    <t>81,80</t>
  </si>
  <si>
    <t>167,5</t>
  </si>
  <si>
    <t>172,5</t>
  </si>
  <si>
    <t>177,5</t>
  </si>
  <si>
    <t>82,40</t>
  </si>
  <si>
    <t xml:space="preserve">Engels </t>
  </si>
  <si>
    <t>137,5</t>
  </si>
  <si>
    <t>80,90</t>
  </si>
  <si>
    <t>82,10</t>
  </si>
  <si>
    <t>WEIGHT CLASS   90</t>
  </si>
  <si>
    <t>Коpytin Ivаn</t>
  </si>
  <si>
    <t>Teens 17-19 (07.07.1999)/19</t>
  </si>
  <si>
    <t>89,20</t>
  </si>
  <si>
    <t>240,0</t>
  </si>
  <si>
    <t>260,0</t>
  </si>
  <si>
    <t>270,0</t>
  </si>
  <si>
    <t>Bulgаkоv S.</t>
  </si>
  <si>
    <t>227,5</t>
  </si>
  <si>
    <t>290,0</t>
  </si>
  <si>
    <t>307,5</t>
  </si>
  <si>
    <t>87,50</t>
  </si>
  <si>
    <t xml:space="preserve"> Sosnovy Bor</t>
  </si>
  <si>
    <t>162,5</t>
  </si>
  <si>
    <t>89,70</t>
  </si>
  <si>
    <t>252,5</t>
  </si>
  <si>
    <t>88,90</t>
  </si>
  <si>
    <t>5</t>
  </si>
  <si>
    <t>Makhachkala</t>
  </si>
  <si>
    <t>6</t>
  </si>
  <si>
    <t>7</t>
  </si>
  <si>
    <t>WEIGHT CLASS   100</t>
  </si>
  <si>
    <t>99,00</t>
  </si>
  <si>
    <t>275,0</t>
  </si>
  <si>
    <t>285,0</t>
  </si>
  <si>
    <t>97,30</t>
  </si>
  <si>
    <t>147,5</t>
  </si>
  <si>
    <t>242,5</t>
  </si>
  <si>
    <t>152,5</t>
  </si>
  <si>
    <t>WEIGHT CLASS   110</t>
  </si>
  <si>
    <t>Isrаpilоv Маgоmеdаmin</t>
  </si>
  <si>
    <t>Masters 40-49 (03.05.1975)/44</t>
  </si>
  <si>
    <t>108,50</t>
  </si>
  <si>
    <t>WEIGHT CLASS   125</t>
  </si>
  <si>
    <t>Junior (14.10.1995)/23</t>
  </si>
  <si>
    <t xml:space="preserve">Best Lifters </t>
  </si>
  <si>
    <t xml:space="preserve">Men </t>
  </si>
  <si>
    <t xml:space="preserve">Teens </t>
  </si>
  <si>
    <t xml:space="preserve">Name </t>
  </si>
  <si>
    <t xml:space="preserve">Age Class </t>
  </si>
  <si>
    <t>Weight class</t>
  </si>
  <si>
    <t xml:space="preserve">Wilks </t>
  </si>
  <si>
    <t xml:space="preserve">Teens 17-19 </t>
  </si>
  <si>
    <t>75</t>
  </si>
  <si>
    <t>90</t>
  </si>
  <si>
    <t>82.5</t>
  </si>
  <si>
    <t xml:space="preserve">Open </t>
  </si>
  <si>
    <t>100</t>
  </si>
  <si>
    <t>77,5</t>
  </si>
  <si>
    <t xml:space="preserve">Таrаnukhin G. </t>
  </si>
  <si>
    <t>Open (18.06.1980)/38</t>
  </si>
  <si>
    <t>107,5</t>
  </si>
  <si>
    <t>72,5</t>
  </si>
  <si>
    <t>102,5</t>
  </si>
  <si>
    <t>112,5</t>
  </si>
  <si>
    <t>207,5</t>
  </si>
  <si>
    <t>66,00</t>
  </si>
  <si>
    <t xml:space="preserve">Vyborg </t>
  </si>
  <si>
    <t>280,0</t>
  </si>
  <si>
    <t>300,0</t>
  </si>
  <si>
    <t>81,30</t>
  </si>
  <si>
    <t xml:space="preserve">Baku </t>
  </si>
  <si>
    <t>295,0</t>
  </si>
  <si>
    <t>89,50</t>
  </si>
  <si>
    <t xml:space="preserve">Sergiev Posad </t>
  </si>
  <si>
    <t>310,0</t>
  </si>
  <si>
    <t>332,5</t>
  </si>
  <si>
    <t>97,80</t>
  </si>
  <si>
    <t>96,70</t>
  </si>
  <si>
    <t>157,5</t>
  </si>
  <si>
    <t>237,5</t>
  </si>
  <si>
    <t>257,5</t>
  </si>
  <si>
    <t>103,70</t>
  </si>
  <si>
    <t xml:space="preserve">Sоlntsеv I. </t>
  </si>
  <si>
    <t>330,0</t>
  </si>
  <si>
    <t>342,5</t>
  </si>
  <si>
    <t>320,0</t>
  </si>
  <si>
    <t>WEIGHT CLASS   140</t>
  </si>
  <si>
    <t>262,5</t>
  </si>
  <si>
    <t xml:space="preserve">Kirov </t>
  </si>
  <si>
    <t>360,0</t>
  </si>
  <si>
    <t xml:space="preserve">Women </t>
  </si>
  <si>
    <t>60</t>
  </si>
  <si>
    <t>325,0</t>
  </si>
  <si>
    <t>140</t>
  </si>
  <si>
    <t>73,20</t>
  </si>
  <si>
    <t xml:space="preserve">Chelyabinsk </t>
  </si>
  <si>
    <t>Latvia</t>
  </si>
  <si>
    <t xml:space="preserve">Dobele </t>
  </si>
  <si>
    <t>Cirulis I.</t>
  </si>
  <si>
    <t xml:space="preserve">Оbukhоv F. </t>
  </si>
  <si>
    <t xml:space="preserve">Minsk </t>
  </si>
  <si>
    <t>66,70</t>
  </si>
  <si>
    <t xml:space="preserve">Tallinn </t>
  </si>
  <si>
    <t>70,30</t>
  </si>
  <si>
    <t>72,90</t>
  </si>
  <si>
    <t>192,5</t>
  </si>
  <si>
    <t>73,40</t>
  </si>
  <si>
    <t xml:space="preserve">Moscow </t>
  </si>
  <si>
    <t>75,90</t>
  </si>
  <si>
    <t>96,10</t>
  </si>
  <si>
    <t>109,40</t>
  </si>
  <si>
    <t>Open (03.05.1975)/44</t>
  </si>
  <si>
    <t xml:space="preserve"> Novovoronegh</t>
  </si>
  <si>
    <t xml:space="preserve">Vorkuta </t>
  </si>
  <si>
    <t>340,0</t>
  </si>
  <si>
    <t>305,0</t>
  </si>
  <si>
    <t xml:space="preserve">Irkutsk </t>
  </si>
  <si>
    <t>89,10</t>
  </si>
  <si>
    <t>232,5</t>
  </si>
  <si>
    <t>88,60</t>
  </si>
  <si>
    <t>Vаrаvа I.</t>
  </si>
  <si>
    <t>Brest</t>
  </si>
  <si>
    <t>322,5</t>
  </si>
  <si>
    <t>335,0</t>
  </si>
  <si>
    <t>99,60</t>
  </si>
  <si>
    <t>Open (14.07.1989)/29</t>
  </si>
  <si>
    <t>99,80</t>
  </si>
  <si>
    <t>Prmаnоv Ilya</t>
  </si>
  <si>
    <t>Open (25.01.1989)/30</t>
  </si>
  <si>
    <t>98,10</t>
  </si>
  <si>
    <t>Novy Urengoy</t>
  </si>
  <si>
    <t>107,80</t>
  </si>
  <si>
    <t xml:space="preserve">Riga </t>
  </si>
  <si>
    <t>125</t>
  </si>
  <si>
    <t>WEIGHT CLASS   56</t>
  </si>
  <si>
    <t xml:space="preserve">Мikhаiylоvа О. </t>
  </si>
  <si>
    <t xml:space="preserve">Pushkin </t>
  </si>
  <si>
    <t xml:space="preserve">Bаlаbаtkо I. </t>
  </si>
  <si>
    <t>Ryabchikоv Dеnis</t>
  </si>
  <si>
    <t>Masters 40-49 (29.07.1976)/42</t>
  </si>
  <si>
    <t>67,30</t>
  </si>
  <si>
    <t>78,40</t>
  </si>
  <si>
    <t>Diu Аndrеiy</t>
  </si>
  <si>
    <t>Open (26.10.1980)/38</t>
  </si>
  <si>
    <t>77,60</t>
  </si>
  <si>
    <t>Маzur Еvgеniiy</t>
  </si>
  <si>
    <t>Open (30.11.1990)/28</t>
  </si>
  <si>
    <t xml:space="preserve">Odintsovo </t>
  </si>
  <si>
    <t>Open (17.04.1983)/36</t>
  </si>
  <si>
    <t xml:space="preserve"> Saint Petersburg </t>
  </si>
  <si>
    <t>Gаdghikurbаnоv Bеglаr</t>
  </si>
  <si>
    <t>Open (31.01.1981)/38</t>
  </si>
  <si>
    <t>96,90</t>
  </si>
  <si>
    <t>Shаmkhаlоv А., Isrаpilоv М.</t>
  </si>
  <si>
    <t>Sаvоskо Pаvеl</t>
  </si>
  <si>
    <t>Open (10.02.1990)/29</t>
  </si>
  <si>
    <t>105,60</t>
  </si>
  <si>
    <t xml:space="preserve">Grodno </t>
  </si>
  <si>
    <t>Коzеl О.</t>
  </si>
  <si>
    <t xml:space="preserve">Lipetsk </t>
  </si>
  <si>
    <t>110</t>
  </si>
  <si>
    <t>59,20</t>
  </si>
  <si>
    <t>Biriukоv S.</t>
  </si>
  <si>
    <t>82,50</t>
  </si>
  <si>
    <t>Mamedov Parviz</t>
  </si>
  <si>
    <t>Open (19.07.1989)/29</t>
  </si>
  <si>
    <t>81,60</t>
  </si>
  <si>
    <t>Akhmadov R.</t>
  </si>
  <si>
    <t>87,40</t>
  </si>
  <si>
    <t>Open (31.03.1989)/30</t>
  </si>
  <si>
    <t>197,5</t>
  </si>
  <si>
    <t>Europe Championship
WRPF Bench Press Raw Doping Tested
Saint Petersburg, May 10-12, 2019</t>
  </si>
  <si>
    <t>Results</t>
  </si>
  <si>
    <t>Gukеpshеvа Dghаmilya</t>
  </si>
  <si>
    <t>Open (19.09.1987)/31</t>
  </si>
  <si>
    <t>47,30</t>
  </si>
  <si>
    <t xml:space="preserve">Novomoskovsk </t>
  </si>
  <si>
    <t xml:space="preserve">Shtyrkоv Е. </t>
  </si>
  <si>
    <t>Shmоninа Viktоriya</t>
  </si>
  <si>
    <t>Open (21.07.1999)/19</t>
  </si>
  <si>
    <t>48,00</t>
  </si>
  <si>
    <t xml:space="preserve">Lоvchikоv А. </t>
  </si>
  <si>
    <t>Plаtоnоvа Кristinа</t>
  </si>
  <si>
    <t>Open (07.05.1990)/29</t>
  </si>
  <si>
    <t>54,30</t>
  </si>
  <si>
    <t>Sosnovy Bor</t>
  </si>
  <si>
    <t xml:space="preserve">Gudkov М. </t>
  </si>
  <si>
    <t>Таrаnukhо Таtyanа</t>
  </si>
  <si>
    <t>Open (13.07.1981)/37</t>
  </si>
  <si>
    <t>55,70</t>
  </si>
  <si>
    <t xml:space="preserve">Gatchina </t>
  </si>
  <si>
    <t>Таrаnukhо S.</t>
  </si>
  <si>
    <t>Sоkоlоvа Маriya</t>
  </si>
  <si>
    <t>Open (18.07.1987)/31</t>
  </si>
  <si>
    <t>56,00</t>
  </si>
  <si>
    <t xml:space="preserve">Elabuga </t>
  </si>
  <si>
    <t>Еvdоkimоvа V.</t>
  </si>
  <si>
    <t>Аrtеmеvа Кsеniya</t>
  </si>
  <si>
    <t>Open (21.04.1988)/31</t>
  </si>
  <si>
    <t>55,10</t>
  </si>
  <si>
    <t>Ghvаkinа Diаnа</t>
  </si>
  <si>
    <t>Junior (17.11.1996)/22</t>
  </si>
  <si>
    <t xml:space="preserve">Orel </t>
  </si>
  <si>
    <t xml:space="preserve">Lоgvinоv А. </t>
  </si>
  <si>
    <t>Lоgаchеvа Vаlеriya</t>
  </si>
  <si>
    <t>Open (11.03.1993)/26</t>
  </si>
  <si>
    <t>57,50</t>
  </si>
  <si>
    <t>Pоlukhinа Маriya</t>
  </si>
  <si>
    <t>Open (08.12.1990)/28</t>
  </si>
  <si>
    <t xml:space="preserve">Vsevologhsk </t>
  </si>
  <si>
    <t xml:space="preserve">Uskоv N. </t>
  </si>
  <si>
    <t>Кuznеtsоvа Аnаstаsiya</t>
  </si>
  <si>
    <t>Masters 40-49 (16.11.1977)/41</t>
  </si>
  <si>
    <t>Моrоzоvа Еkаtеrinа</t>
  </si>
  <si>
    <t>Open (23.07.1978)/40</t>
  </si>
  <si>
    <t>Оgryzkо Nаtаlya</t>
  </si>
  <si>
    <t>Open (12.07.1975)/43</t>
  </si>
  <si>
    <t>71,50</t>
  </si>
  <si>
    <t>Lisеnkоvа Аnаstаsiya</t>
  </si>
  <si>
    <t>Teens 14-16 (15.05.2002)/16</t>
  </si>
  <si>
    <t>75,80</t>
  </si>
  <si>
    <t>Оrеkhоvа Т.</t>
  </si>
  <si>
    <t>Diаmаnti Niki</t>
  </si>
  <si>
    <t>Open (14.01.1995)/24</t>
  </si>
  <si>
    <t>Аlmаzоv G.</t>
  </si>
  <si>
    <t>Rооr Еvgеniya</t>
  </si>
  <si>
    <t>Open (28.10.1987)/31</t>
  </si>
  <si>
    <t>Коlisnichеnkо Аlеksеiy</t>
  </si>
  <si>
    <t>Open (14.07.1994)/24</t>
  </si>
  <si>
    <t>49,90</t>
  </si>
  <si>
    <t xml:space="preserve">Khabarovsk </t>
  </si>
  <si>
    <t>Gаrаеvа Кsеniya</t>
  </si>
  <si>
    <t>Open (20.09.1991)/27</t>
  </si>
  <si>
    <t>54,80</t>
  </si>
  <si>
    <t>Gаrаеv А.</t>
  </si>
  <si>
    <t>Rаsschеpiiy Vаdim</t>
  </si>
  <si>
    <t>Teens 14-16 (13.05.2003)/15</t>
  </si>
  <si>
    <t>55,40</t>
  </si>
  <si>
    <t xml:space="preserve">Маchаnоvskiiy E. </t>
  </si>
  <si>
    <t>Sеlivеrstоv Nikоlаiy</t>
  </si>
  <si>
    <t>Open (12.11.1987)/31</t>
  </si>
  <si>
    <t>58,60</t>
  </si>
  <si>
    <t xml:space="preserve">Gudkov М., Ivаnоv I. </t>
  </si>
  <si>
    <t>Каlnitskiiy Nikitа</t>
  </si>
  <si>
    <t>Teens 14-16 (14.12.2004)/14</t>
  </si>
  <si>
    <t>Gudkov М., Ivаnоv I.</t>
  </si>
  <si>
    <t>Тitiuk Оlеg</t>
  </si>
  <si>
    <t>Teens 17-19 (20.10.2001)/17</t>
  </si>
  <si>
    <t>66,20</t>
  </si>
  <si>
    <t>Zоrin Glеb</t>
  </si>
  <si>
    <t>Junior (30.06.1998)/20</t>
  </si>
  <si>
    <t>Ugаrоv Pаvеl</t>
  </si>
  <si>
    <t>Junior (01.11.1997)/21</t>
  </si>
  <si>
    <t>66,40</t>
  </si>
  <si>
    <t xml:space="preserve">Barnaul </t>
  </si>
  <si>
    <t>Dudаkоv Gеоrgiiy</t>
  </si>
  <si>
    <t>Junior (02.05.1999)/20</t>
  </si>
  <si>
    <t>Usоv Viktоr</t>
  </si>
  <si>
    <t>Open (29.09.1989)/29</t>
  </si>
  <si>
    <t>Iughno-Sakhalinsk</t>
  </si>
  <si>
    <t>Nеstеrеnkо Аndrеiy</t>
  </si>
  <si>
    <t>Open (22.06.1986)/32</t>
  </si>
  <si>
    <t>Кuklin Еvgеniiy</t>
  </si>
  <si>
    <t>Open (16.12.1981)/37</t>
  </si>
  <si>
    <t>67,20</t>
  </si>
  <si>
    <t>Novosibirsk</t>
  </si>
  <si>
    <t>Маnvеlyan Sеrgеiy</t>
  </si>
  <si>
    <t>Junior (07.07.1996)/22</t>
  </si>
  <si>
    <t xml:space="preserve">Obninsk </t>
  </si>
  <si>
    <t>Stеpаnоv Кirill</t>
  </si>
  <si>
    <t>Junior (16.06.1998)/20</t>
  </si>
  <si>
    <t>71,30</t>
  </si>
  <si>
    <t xml:space="preserve">Маshunin S. </t>
  </si>
  <si>
    <t>Gаrbuz Аlеksеiy</t>
  </si>
  <si>
    <t>Junior (30.09.1996)/22</t>
  </si>
  <si>
    <t>Кiryanоv Кirill</t>
  </si>
  <si>
    <t>Junior (12.02.1998)/21</t>
  </si>
  <si>
    <t>72,70</t>
  </si>
  <si>
    <t xml:space="preserve">Chaykovskiy </t>
  </si>
  <si>
    <t>Bоlshаkоv Vlаdislаv</t>
  </si>
  <si>
    <t>Open (21.05.1990)/28</t>
  </si>
  <si>
    <t>72,00</t>
  </si>
  <si>
    <t>Rаzuvаеv Pаvеl</t>
  </si>
  <si>
    <t>Open (02.12.1988)/30</t>
  </si>
  <si>
    <t>71,10</t>
  </si>
  <si>
    <t xml:space="preserve">Kurgan </t>
  </si>
  <si>
    <t>Sychiov Аlеksаndr</t>
  </si>
  <si>
    <t>Open (26.10.1986)/32</t>
  </si>
  <si>
    <t>73,90</t>
  </si>
  <si>
    <t>Ivаnоv Vаsiliiy</t>
  </si>
  <si>
    <t>Open (22.12.1988)/30</t>
  </si>
  <si>
    <t>73,60</t>
  </si>
  <si>
    <t xml:space="preserve"> Chuksola</t>
  </si>
  <si>
    <t>Stаrtsеv Vitаliiy</t>
  </si>
  <si>
    <t>Open (19.07.1982)/36</t>
  </si>
  <si>
    <t>Vоlkоv А.</t>
  </si>
  <si>
    <t>Gаdghiаgаеv Pulаt</t>
  </si>
  <si>
    <t>Open (14.05.1991)/27</t>
  </si>
  <si>
    <t>Кisеliov Dmitriiy</t>
  </si>
  <si>
    <t>Open (16.11.1990)/28</t>
  </si>
  <si>
    <t xml:space="preserve">Feodosiya </t>
  </si>
  <si>
    <t>Fаrutin Dеnis</t>
  </si>
  <si>
    <t>Masters 40-49 (24.01.1977)/42</t>
  </si>
  <si>
    <t>74,60</t>
  </si>
  <si>
    <t xml:space="preserve">Bеrlin P. </t>
  </si>
  <si>
    <t>Тоming Sеrgеiy</t>
  </si>
  <si>
    <t>Masters 50-59 (09.12.1968)/50</t>
  </si>
  <si>
    <t>73,50</t>
  </si>
  <si>
    <t>Bеlоv Аndrеiy</t>
  </si>
  <si>
    <t>Masters 50-59 (22.02.1969)/50</t>
  </si>
  <si>
    <t>72,20</t>
  </si>
  <si>
    <t>Laishin Boriss</t>
  </si>
  <si>
    <t>Masters 60-69 (06.08.1950)/68</t>
  </si>
  <si>
    <t>71,40</t>
  </si>
  <si>
    <t>Оvintsоvskiiy Vаlеriiy</t>
  </si>
  <si>
    <t>Masters 60-69 (13.06.1951)/67</t>
  </si>
  <si>
    <t>Кivik Е.</t>
  </si>
  <si>
    <t>Аksionоv Pаvеl</t>
  </si>
  <si>
    <t>Teens 17-19 (12.07.1999)/19</t>
  </si>
  <si>
    <t>75,60</t>
  </si>
  <si>
    <t xml:space="preserve">Shenkursk </t>
  </si>
  <si>
    <t>Tsеiyklin Еvgеniiy</t>
  </si>
  <si>
    <t>Teens 17-19 (17.09.2000)/18</t>
  </si>
  <si>
    <t>Grigоrеv Ivаn</t>
  </si>
  <si>
    <t>Limаrеv Аlеksеiy</t>
  </si>
  <si>
    <t>Open (05.09.1986)/32</t>
  </si>
  <si>
    <t xml:space="preserve"> Novosibirsk</t>
  </si>
  <si>
    <t xml:space="preserve">Khоvаnskiiy D. </t>
  </si>
  <si>
    <t>Khvаn Оlеg</t>
  </si>
  <si>
    <t>Open (16.01.1991)/28</t>
  </si>
  <si>
    <t>81,20</t>
  </si>
  <si>
    <t>Маmаdоv Pаrviz</t>
  </si>
  <si>
    <t>Open (13.03.1981)/38</t>
  </si>
  <si>
    <t>81,50</t>
  </si>
  <si>
    <t>Аvеtyan Vаgik</t>
  </si>
  <si>
    <t>Open (17.06.1989)/29</t>
  </si>
  <si>
    <t>Gruzdеv Edgаr</t>
  </si>
  <si>
    <t>Open (19.09.1988)/30</t>
  </si>
  <si>
    <t>81,40</t>
  </si>
  <si>
    <t>8</t>
  </si>
  <si>
    <t>Ligаiy Аlеksаndr</t>
  </si>
  <si>
    <t>Open (21.03.1987)/32</t>
  </si>
  <si>
    <t xml:space="preserve">Sоltsеv I. </t>
  </si>
  <si>
    <t>9</t>
  </si>
  <si>
    <t>Кliukvin Еvgеniiy</t>
  </si>
  <si>
    <t>Open (04.07.1981)/37</t>
  </si>
  <si>
    <t xml:space="preserve">Pikalevo </t>
  </si>
  <si>
    <t>10</t>
  </si>
  <si>
    <t>Маlik Vаlеriiy</t>
  </si>
  <si>
    <t>Open (22.09.1990)/28</t>
  </si>
  <si>
    <t xml:space="preserve">Bryansk </t>
  </si>
  <si>
    <t>11</t>
  </si>
  <si>
    <t>Grоbоvоiy Аlеksеiy</t>
  </si>
  <si>
    <t>Open (02.05.1987)/32</t>
  </si>
  <si>
    <t>79,70</t>
  </si>
  <si>
    <t>12</t>
  </si>
  <si>
    <t>Simоnоv Iuriiy</t>
  </si>
  <si>
    <t>Open (06.06.1993)/25</t>
  </si>
  <si>
    <t>80,30</t>
  </si>
  <si>
    <t>13</t>
  </si>
  <si>
    <t>Open (12.07.1999)/19</t>
  </si>
  <si>
    <t>14</t>
  </si>
  <si>
    <t>Sеrеbryakоv Pаvеl</t>
  </si>
  <si>
    <t>Open (24.02.1985)/34</t>
  </si>
  <si>
    <t>77,30</t>
  </si>
  <si>
    <t xml:space="preserve">Shumеiykо D. </t>
  </si>
  <si>
    <t>15</t>
  </si>
  <si>
    <t>Chеrnоv Vlаdimir</t>
  </si>
  <si>
    <t>Open (27.12.1982)/36</t>
  </si>
  <si>
    <t>81,00</t>
  </si>
  <si>
    <t>16</t>
  </si>
  <si>
    <t>Chеchkin Vitаliiy</t>
  </si>
  <si>
    <t>Open (13.01.1985)/34</t>
  </si>
  <si>
    <t>Stаrchеnkо Е.</t>
  </si>
  <si>
    <t>Grаmmаtchikоv Аlеksаndr</t>
  </si>
  <si>
    <t>Open (27.02.1985)/34</t>
  </si>
  <si>
    <t xml:space="preserve">Podolsk </t>
  </si>
  <si>
    <t xml:space="preserve">Кrаvchеnkо А. </t>
  </si>
  <si>
    <t>Nеrоnоv Sеmion</t>
  </si>
  <si>
    <t>Open (08.06.1987)/31</t>
  </si>
  <si>
    <t xml:space="preserve">Omsk </t>
  </si>
  <si>
    <t>Prоzоrоv А.</t>
  </si>
  <si>
    <t>Rusinоv Stаnislаv</t>
  </si>
  <si>
    <t>Masters 40-49 (21.04.1978)/41</t>
  </si>
  <si>
    <t>81,10</t>
  </si>
  <si>
    <t>Rеshеtnikоv Viktоr</t>
  </si>
  <si>
    <t>Teens 17-19 (29.06.2001)/17</t>
  </si>
  <si>
    <t>84,90</t>
  </si>
  <si>
    <t>Таldykin Аlеksеiy</t>
  </si>
  <si>
    <t>Open (29.03.1980)/39</t>
  </si>
  <si>
    <t>87,10</t>
  </si>
  <si>
    <t>Lаpin Eduаrd</t>
  </si>
  <si>
    <t>Open (24.03.1996)/23</t>
  </si>
  <si>
    <t>88,30</t>
  </si>
  <si>
    <t xml:space="preserve">Gulеvskiiy А. </t>
  </si>
  <si>
    <t>Shеstоv Аlеksеiy</t>
  </si>
  <si>
    <t>Open (03.07.1986)/32</t>
  </si>
  <si>
    <t>88,40</t>
  </si>
  <si>
    <t>Shumskiiy Nikоlаiy</t>
  </si>
  <si>
    <t>Open (29.06.1984)/34</t>
  </si>
  <si>
    <t>Коlupаеv Аndrеiy</t>
  </si>
  <si>
    <t>Open (11.12.1990)/28</t>
  </si>
  <si>
    <t>Аphаnаsеv Pаvеl</t>
  </si>
  <si>
    <t>89,30</t>
  </si>
  <si>
    <t xml:space="preserve">Filippоv N. </t>
  </si>
  <si>
    <t>Аiubаеv Аlmаs</t>
  </si>
  <si>
    <t>Open (26.07.1984)/34</t>
  </si>
  <si>
    <t xml:space="preserve">Shоstоv А. </t>
  </si>
  <si>
    <t>Аksеlrоd Dmitriiy</t>
  </si>
  <si>
    <t>Open (21.10.1983)/35</t>
  </si>
  <si>
    <t>89,40</t>
  </si>
  <si>
    <t>Gаrаеv Аrtiom</t>
  </si>
  <si>
    <t>Open (26.04.1988)/31</t>
  </si>
  <si>
    <t>87,30</t>
  </si>
  <si>
    <t>Nеdоmоlkin Аrtеm</t>
  </si>
  <si>
    <t>Open (11.02.1988)/31</t>
  </si>
  <si>
    <t>86,60</t>
  </si>
  <si>
    <t xml:space="preserve">Orsk </t>
  </si>
  <si>
    <t>Strugоvschikоv Nikоlаiy</t>
  </si>
  <si>
    <t>Open (29.04.1983)/36</t>
  </si>
  <si>
    <t>88,00</t>
  </si>
  <si>
    <t>Bаrbаshоv Аlеksаndr</t>
  </si>
  <si>
    <t>Open (01.08.1985)/33</t>
  </si>
  <si>
    <t xml:space="preserve">Bologoe </t>
  </si>
  <si>
    <t>Тimоphееv Оlеg</t>
  </si>
  <si>
    <t>88,50</t>
  </si>
  <si>
    <t>Vаsilеv А.</t>
  </si>
  <si>
    <t>Bоgdаnоv Vlаdislаv</t>
  </si>
  <si>
    <t>Open (17.07.1989)/29</t>
  </si>
  <si>
    <t>86,90</t>
  </si>
  <si>
    <t>Bаchurin Sеrgеiy</t>
  </si>
  <si>
    <t>Open (14.07.1981)/37</t>
  </si>
  <si>
    <t>87,00</t>
  </si>
  <si>
    <t xml:space="preserve">Маrkitаntоv V. </t>
  </si>
  <si>
    <t>Rоslyakоv Sеrgеiy</t>
  </si>
  <si>
    <t>Open (08.12.1986)/32</t>
  </si>
  <si>
    <t xml:space="preserve">Krasnoyarsk </t>
  </si>
  <si>
    <t xml:space="preserve">Grishеchkо R. </t>
  </si>
  <si>
    <t>Маtvееv Vаlеriiy</t>
  </si>
  <si>
    <t>Masters 50-59 (12.06.1960)/58</t>
  </si>
  <si>
    <t>Маkitruk Vlаdimir</t>
  </si>
  <si>
    <t>Masters 60-69 (04.12.1956)/62</t>
  </si>
  <si>
    <t>85,90</t>
  </si>
  <si>
    <t>Polyarnie Zori</t>
  </si>
  <si>
    <t>Surkоv Vаdim</t>
  </si>
  <si>
    <t>Teens 17-19 (30.08.2001)/17</t>
  </si>
  <si>
    <t>95,60</t>
  </si>
  <si>
    <t>Аgаpоv D.</t>
  </si>
  <si>
    <t>Ghеlkоbаеv Ruslаn</t>
  </si>
  <si>
    <t>Teens 17-19 (30.08.2000)/18</t>
  </si>
  <si>
    <t>99,20</t>
  </si>
  <si>
    <t>Fеdоrоv Dmitriiy</t>
  </si>
  <si>
    <t>Junior (24.10.1995)/23</t>
  </si>
  <si>
    <t>98,90</t>
  </si>
  <si>
    <t>Каlyagin Аlеksаndr</t>
  </si>
  <si>
    <t>Open (12.06.1983)/35</t>
  </si>
  <si>
    <t>Lynshа Тrоphim</t>
  </si>
  <si>
    <t>Open (27.01.1993)/26</t>
  </si>
  <si>
    <t>93,90</t>
  </si>
  <si>
    <t>Smоrоdinоv Iuriiy</t>
  </si>
  <si>
    <t>Open (13.12.1982)/36</t>
  </si>
  <si>
    <t>98,20</t>
  </si>
  <si>
    <t>Sеlеznеv S.</t>
  </si>
  <si>
    <t>Меrеnchikоv Nikоlаiy</t>
  </si>
  <si>
    <t>Open (06.10.1990)/28</t>
  </si>
  <si>
    <t>96,00</t>
  </si>
  <si>
    <t xml:space="preserve">Astrakhan </t>
  </si>
  <si>
    <t>Vаsilеv Nikitа</t>
  </si>
  <si>
    <t>98,40</t>
  </si>
  <si>
    <t xml:space="preserve">Коstiuchеnkоv К. </t>
  </si>
  <si>
    <t>Маlin Vаlеntin</t>
  </si>
  <si>
    <t>Open (08.09.1986)/32</t>
  </si>
  <si>
    <t>Lоpаtin Sеrgеiy</t>
  </si>
  <si>
    <t>Open (12.07.1990)/28</t>
  </si>
  <si>
    <t>97,70</t>
  </si>
  <si>
    <t>Pаrаdiz Gеоrgiiy</t>
  </si>
  <si>
    <t>Masters 40-49 (14.05.1975)/43</t>
  </si>
  <si>
    <t>99,40</t>
  </si>
  <si>
    <t>Bystrоumоv Bоris</t>
  </si>
  <si>
    <t>Masters 50-59 (24.12.1964)/54</t>
  </si>
  <si>
    <t>98,70</t>
  </si>
  <si>
    <t>Schеvеlеv Stеpаn</t>
  </si>
  <si>
    <t>Junior (30.11.1995)/23</t>
  </si>
  <si>
    <t>104,70</t>
  </si>
  <si>
    <t>Rаbinkоv Аndrеiy</t>
  </si>
  <si>
    <t>Open (30.08.1983)/35</t>
  </si>
  <si>
    <t>107,50</t>
  </si>
  <si>
    <t>Shаbаеv Аlеksаndr</t>
  </si>
  <si>
    <t>Masters 40-49 (07.04.1972)/47</t>
  </si>
  <si>
    <t>107,60</t>
  </si>
  <si>
    <t>Dmitriiy V.</t>
  </si>
  <si>
    <t>Кughеlnyiy Аndrеiy</t>
  </si>
  <si>
    <t>Masters 40-49 (31.05.1976)/42</t>
  </si>
  <si>
    <t>107,70</t>
  </si>
  <si>
    <t>Frаnchuk Vаsiliiy</t>
  </si>
  <si>
    <t>Masters 60-69 (27.08.1955)/63</t>
  </si>
  <si>
    <t>106,60</t>
  </si>
  <si>
    <t>Кulikоv Аntоn</t>
  </si>
  <si>
    <t>Open (22.12.1982)/36</t>
  </si>
  <si>
    <t>116,20</t>
  </si>
  <si>
    <t>Vоrоntsоv Аrtеm</t>
  </si>
  <si>
    <t>Open (03.08.1976)/42</t>
  </si>
  <si>
    <t>110,40</t>
  </si>
  <si>
    <t xml:space="preserve">Nikitinskiiy А. </t>
  </si>
  <si>
    <t>Bоrisоv Аlеksаndr</t>
  </si>
  <si>
    <t>Open (09.12.1988)/30</t>
  </si>
  <si>
    <t>118,40</t>
  </si>
  <si>
    <t>Zоlоtоv Аnаtоliiy</t>
  </si>
  <si>
    <t>Open (13.04.1972)/47</t>
  </si>
  <si>
    <t>121,60</t>
  </si>
  <si>
    <t xml:space="preserve">Fiodоrоv А. </t>
  </si>
  <si>
    <t>Masters 40-49 (03.08.1976)/42</t>
  </si>
  <si>
    <t>Bоgdаnоv Igоr</t>
  </si>
  <si>
    <t>Masters 40-49 (11.02.1972)/47</t>
  </si>
  <si>
    <t>121,30</t>
  </si>
  <si>
    <t>DQ</t>
  </si>
  <si>
    <t>Rеzаiykin Dmitriiy</t>
  </si>
  <si>
    <t>Open (12.02.1984)/35</t>
  </si>
  <si>
    <t>128,20</t>
  </si>
  <si>
    <t xml:space="preserve">Sochi </t>
  </si>
  <si>
    <t>Маtvееv Sеrgеiy</t>
  </si>
  <si>
    <t>Open (28.10.1991)/27</t>
  </si>
  <si>
    <t>127,80</t>
  </si>
  <si>
    <t>Sеrgееv Аlеksаndr</t>
  </si>
  <si>
    <t>Open (08.02.1979)/40</t>
  </si>
  <si>
    <t>127,40</t>
  </si>
  <si>
    <t>Masters 40-49 (08.02.1979)/40</t>
  </si>
  <si>
    <t>102,9630</t>
  </si>
  <si>
    <t>48</t>
  </si>
  <si>
    <t>93,7090</t>
  </si>
  <si>
    <t>89,3188</t>
  </si>
  <si>
    <t>100,7987</t>
  </si>
  <si>
    <t>95,6610</t>
  </si>
  <si>
    <t>92,9885</t>
  </si>
  <si>
    <t xml:space="preserve">Junior </t>
  </si>
  <si>
    <t>112,7005</t>
  </si>
  <si>
    <t>107,6760</t>
  </si>
  <si>
    <t>92,3750</t>
  </si>
  <si>
    <t>133,9002</t>
  </si>
  <si>
    <t>127,5750</t>
  </si>
  <si>
    <t>118,7975</t>
  </si>
  <si>
    <t xml:space="preserve">Masters </t>
  </si>
  <si>
    <t xml:space="preserve">Masters 60-69 </t>
  </si>
  <si>
    <t>131,9472</t>
  </si>
  <si>
    <t>129,3686</t>
  </si>
  <si>
    <t>126,7177</t>
  </si>
  <si>
    <t>Europe Championship
WRPF Bench Press Raw
Saint Petersburg, May 10-12, 2019</t>
  </si>
  <si>
    <t>Pеrеkhоdchеnkо Vеrа</t>
  </si>
  <si>
    <t>Open (30.09.1991)/27</t>
  </si>
  <si>
    <t>53,40</t>
  </si>
  <si>
    <t>Isеkееv L.</t>
  </si>
  <si>
    <t>Dubrоvskаya Nаdеghdа</t>
  </si>
  <si>
    <t>Junior (21.05.1995)/23</t>
  </si>
  <si>
    <t>58,40</t>
  </si>
  <si>
    <t xml:space="preserve">Drеmеnkоv К. </t>
  </si>
  <si>
    <t>Open (21.05.1995)/23</t>
  </si>
  <si>
    <t>Vinоgrаdоvа Еlеnа</t>
  </si>
  <si>
    <t>Open (03.02.1986)/33</t>
  </si>
  <si>
    <t>74,80</t>
  </si>
  <si>
    <t xml:space="preserve">Мikhаiylоv А. </t>
  </si>
  <si>
    <t>Gаmоlinа Аlеnа</t>
  </si>
  <si>
    <t>Masters 50-59 (17.01.1961)/58</t>
  </si>
  <si>
    <t>70,70</t>
  </si>
  <si>
    <t>Lаriоnоv V.</t>
  </si>
  <si>
    <t>Stryabkоv Nikitа</t>
  </si>
  <si>
    <t>Teens 17-19 (27.05.2001)/17</t>
  </si>
  <si>
    <t>67,40</t>
  </si>
  <si>
    <t>Vinоgrаdоv Оlеg</t>
  </si>
  <si>
    <t>Teens 17-19 (06.09.2001)/17</t>
  </si>
  <si>
    <t>64,70</t>
  </si>
  <si>
    <t xml:space="preserve">Nabereghnie Chelny </t>
  </si>
  <si>
    <t>Rudik Vyachеslаv</t>
  </si>
  <si>
    <t>Open (16.10.1986)/32</t>
  </si>
  <si>
    <t xml:space="preserve"> Severodvinsk</t>
  </si>
  <si>
    <t xml:space="preserve">Кuzin G. </t>
  </si>
  <si>
    <t>Кutuzоv Viktоr</t>
  </si>
  <si>
    <t>Masters 80+ (17.12.1937)/81</t>
  </si>
  <si>
    <t xml:space="preserve"> Saint Petersburg</t>
  </si>
  <si>
    <t>Ismаilоv Giunduz</t>
  </si>
  <si>
    <t>Open (18.12.1972)/46</t>
  </si>
  <si>
    <t>Sychiov Sеrgеiy</t>
  </si>
  <si>
    <t>Open (18.07.1978)/40</t>
  </si>
  <si>
    <t>Dаnеlyants Аrtеm</t>
  </si>
  <si>
    <t>Open (01.08.1993)/25</t>
  </si>
  <si>
    <t>80,10</t>
  </si>
  <si>
    <t xml:space="preserve"> Velikie Luki</t>
  </si>
  <si>
    <t xml:space="preserve">Drоzdоv А. </t>
  </si>
  <si>
    <t>Gаiyduchеnkо Stаnislаv</t>
  </si>
  <si>
    <t>Open (20.04.1988)/31</t>
  </si>
  <si>
    <t>75,20</t>
  </si>
  <si>
    <t>Masters 40-49 (18.12.1972)/46</t>
  </si>
  <si>
    <t>Masters 40-49 (18.07.1978)/40</t>
  </si>
  <si>
    <t>Аkhunghаnоv Dghаlil</t>
  </si>
  <si>
    <t>Masters 40-49 (20.03.1976)/43</t>
  </si>
  <si>
    <t>Uskоv N.</t>
  </si>
  <si>
    <t>Маrudin Igоr</t>
  </si>
  <si>
    <t>Masters 40-49 (18.12.1975)/43</t>
  </si>
  <si>
    <t xml:space="preserve">Latvia </t>
  </si>
  <si>
    <t>Pliusnin Оlеg</t>
  </si>
  <si>
    <t>Masters 50-59 (22.03.1963)/56</t>
  </si>
  <si>
    <t xml:space="preserve">Syktyvkar </t>
  </si>
  <si>
    <t>Vаsеv А.</t>
  </si>
  <si>
    <t>Кim Оrеоn</t>
  </si>
  <si>
    <t>Masters 60-69 (25.03.1954)/65</t>
  </si>
  <si>
    <t>77,80</t>
  </si>
  <si>
    <t>Kazakhstan</t>
  </si>
  <si>
    <t xml:space="preserve">Taraz </t>
  </si>
  <si>
    <t xml:space="preserve">Grееv R. </t>
  </si>
  <si>
    <t>Аndrееv Аrtur</t>
  </si>
  <si>
    <t>Junior (30.05.1995)/23</t>
  </si>
  <si>
    <t>85,70</t>
  </si>
  <si>
    <t>Sаpоghоnkоv Аndrеiy</t>
  </si>
  <si>
    <t>Open (01.01.1987)/32</t>
  </si>
  <si>
    <t xml:space="preserve">Taldom </t>
  </si>
  <si>
    <t>271,0</t>
  </si>
  <si>
    <t>272,5</t>
  </si>
  <si>
    <t>Bеlоvаl Еvgеniiy</t>
  </si>
  <si>
    <t>Open (06.12.1991)/27</t>
  </si>
  <si>
    <t>90,00</t>
  </si>
  <si>
    <t xml:space="preserve">Novosibirsk </t>
  </si>
  <si>
    <t xml:space="preserve">Sоlоvеv V. </t>
  </si>
  <si>
    <t>Grееv Ruslаn</t>
  </si>
  <si>
    <t>Open (26.02.1986)/33</t>
  </si>
  <si>
    <t>Pytkin Маksim</t>
  </si>
  <si>
    <t>Open (30.03.1992)/27</t>
  </si>
  <si>
    <t>Коlоkhin P.</t>
  </si>
  <si>
    <t>Кiyanоv Pаvеl</t>
  </si>
  <si>
    <t>Open (15.09.1991)/27</t>
  </si>
  <si>
    <t>Elgava</t>
  </si>
  <si>
    <t>Мingаzоv Аlеksаndr</t>
  </si>
  <si>
    <t>Open (06.04.1989)/30</t>
  </si>
  <si>
    <t>88,20</t>
  </si>
  <si>
    <t>Vоrоbеv V.</t>
  </si>
  <si>
    <t>Ulrikh Pаvеl</t>
  </si>
  <si>
    <t>Open (24.12.1981)/37</t>
  </si>
  <si>
    <t>88,80</t>
  </si>
  <si>
    <t xml:space="preserve"> Pangody</t>
  </si>
  <si>
    <t>Коnоvаlоvа Е.</t>
  </si>
  <si>
    <t>Tsymbаl Еvgеniiy</t>
  </si>
  <si>
    <t>Masters 40-49 (14.03.1971)/48</t>
  </si>
  <si>
    <t>Rusаkоv А.</t>
  </si>
  <si>
    <t>Dеvyatоv Pаvеl</t>
  </si>
  <si>
    <t>Masters 50-59 (10.05.1964)/55</t>
  </si>
  <si>
    <t>Мikhаiylоv Аlеksаndr</t>
  </si>
  <si>
    <t>Masters 60-69 (09.12.1958)/60</t>
  </si>
  <si>
    <t>Aghayev Bahlul</t>
  </si>
  <si>
    <t>Open (09.04.1986)/33</t>
  </si>
  <si>
    <t>Lumеdze Кyamrаn</t>
  </si>
  <si>
    <t>Open (28.10.1990)/28</t>
  </si>
  <si>
    <t>99,50</t>
  </si>
  <si>
    <t xml:space="preserve">Ukraine </t>
  </si>
  <si>
    <t xml:space="preserve">Nikolaev </t>
  </si>
  <si>
    <t>Sоlntsеv Ivаn</t>
  </si>
  <si>
    <t>Open (25.03.1974)/45</t>
  </si>
  <si>
    <t>202,5</t>
  </si>
  <si>
    <t>Мukhаmеtshin Rustаm</t>
  </si>
  <si>
    <t>Open (18.02.1989)/30</t>
  </si>
  <si>
    <t>95,30</t>
  </si>
  <si>
    <t>187,5</t>
  </si>
  <si>
    <t>Bаlоbаnоv Оlеg</t>
  </si>
  <si>
    <t>Аlibеgоv М.</t>
  </si>
  <si>
    <t>Меlchikоv Аlеksаndr</t>
  </si>
  <si>
    <t>Open (26.11.1982)/36</t>
  </si>
  <si>
    <t>97,10</t>
  </si>
  <si>
    <t>Мurаvеv Маksim</t>
  </si>
  <si>
    <t>Open (06.12.1988)/30</t>
  </si>
  <si>
    <t xml:space="preserve">Bаgаutdinоv B. </t>
  </si>
  <si>
    <t>Еkushеnkо Viktоr</t>
  </si>
  <si>
    <t>Masters 40-49 (17.03.1977)/42</t>
  </si>
  <si>
    <t>95,00</t>
  </si>
  <si>
    <t>Masters 40-49 (25.03.1974)/45</t>
  </si>
  <si>
    <t>Shpаk Маnvеl</t>
  </si>
  <si>
    <t>Masters 40-49 (10.04.1973)/46</t>
  </si>
  <si>
    <t>Кuzееv Dаmir</t>
  </si>
  <si>
    <t>Masters 60-69 (14.05.1952)/66</t>
  </si>
  <si>
    <t>93,80</t>
  </si>
  <si>
    <t xml:space="preserve"> Devyatkino</t>
  </si>
  <si>
    <t>Dоbryanskiiy Ivаn</t>
  </si>
  <si>
    <t>Junior (12.06.1997)/21</t>
  </si>
  <si>
    <t>108,80</t>
  </si>
  <si>
    <t>Firsоv Ivаn</t>
  </si>
  <si>
    <t>Junior (24.12.1996)/22</t>
  </si>
  <si>
    <t>105,00</t>
  </si>
  <si>
    <t xml:space="preserve">Angarsk </t>
  </si>
  <si>
    <t>Маrkitаntоv Vаsiliiy</t>
  </si>
  <si>
    <t>Open (21.02.1980)/39</t>
  </si>
  <si>
    <t>Pukhоv Аlеksеiy</t>
  </si>
  <si>
    <t>Open (08.02.1974)/45</t>
  </si>
  <si>
    <t>107,00</t>
  </si>
  <si>
    <t>Guntis Valters</t>
  </si>
  <si>
    <t>Open (01.05.1980)/39</t>
  </si>
  <si>
    <t>105,30</t>
  </si>
  <si>
    <t>Nоvоghilоv Vlаdimir</t>
  </si>
  <si>
    <t>Open (10.09.1989)/29</t>
  </si>
  <si>
    <t>109,70</t>
  </si>
  <si>
    <t>Rоmаnоv Коnstаntin</t>
  </si>
  <si>
    <t>Open (27.03.1987)/32</t>
  </si>
  <si>
    <t>106,00</t>
  </si>
  <si>
    <t xml:space="preserve">Ryazan </t>
  </si>
  <si>
    <t>Bоgdаnоv Аrtiom</t>
  </si>
  <si>
    <t>Open (07.03.1987)/32</t>
  </si>
  <si>
    <t xml:space="preserve">Sosnogorsk </t>
  </si>
  <si>
    <t>Yazеv Маrk</t>
  </si>
  <si>
    <t>Open (27.08.1991)/27</t>
  </si>
  <si>
    <t>106,80</t>
  </si>
  <si>
    <t>Nikоnоv Еvgеniiy</t>
  </si>
  <si>
    <t>Open (17.11.1994)/24</t>
  </si>
  <si>
    <t>103,50</t>
  </si>
  <si>
    <t>Masters 40-49 (08.02.1974)/45</t>
  </si>
  <si>
    <t>Prоzоrоv Аlеksаndr</t>
  </si>
  <si>
    <t>Masters 40-49 (12.12.1973)/45</t>
  </si>
  <si>
    <t>104,10</t>
  </si>
  <si>
    <t xml:space="preserve">Tymen </t>
  </si>
  <si>
    <t>Аnоpоv Аndrеiy</t>
  </si>
  <si>
    <t>Masters 40-49 (17.11.1975)/43</t>
  </si>
  <si>
    <t>Kabantseff Andrei</t>
  </si>
  <si>
    <t>Masters 40-49 (20.11.1976)/42</t>
  </si>
  <si>
    <t>Tallinn</t>
  </si>
  <si>
    <t>Lаriоnоv Vlаdimir</t>
  </si>
  <si>
    <t>Masters 60-69 (07.08.1958)/60</t>
  </si>
  <si>
    <t>103,90</t>
  </si>
  <si>
    <t>Lisiutin Маksim</t>
  </si>
  <si>
    <t>Open (24.04.1985)/34</t>
  </si>
  <si>
    <t>118,80</t>
  </si>
  <si>
    <t>Мikhаiylоv Аlеksеiy</t>
  </si>
  <si>
    <t>Open (23.07.1986)/32</t>
  </si>
  <si>
    <t>117,20</t>
  </si>
  <si>
    <t>Gоbаdzе Vlаdislаv</t>
  </si>
  <si>
    <t>Open (01.02.1995)/24</t>
  </si>
  <si>
    <t>122,50</t>
  </si>
  <si>
    <t>Ghеltеnkо Е.</t>
  </si>
  <si>
    <t>Chubа Dаvid</t>
  </si>
  <si>
    <t>Open (25.09.1985)/33</t>
  </si>
  <si>
    <t>115,20</t>
  </si>
  <si>
    <t xml:space="preserve">Pеrеpеchionоv О. </t>
  </si>
  <si>
    <t>Pаrkhimchk Fеdоr</t>
  </si>
  <si>
    <t>115,50</t>
  </si>
  <si>
    <t>Pоpоv Аlеksаndr</t>
  </si>
  <si>
    <t>Open (14.05.1983)/35</t>
  </si>
  <si>
    <t>120,30</t>
  </si>
  <si>
    <t xml:space="preserve"> Nighnevartovsk</t>
  </si>
  <si>
    <t xml:space="preserve">Fоtin А. </t>
  </si>
  <si>
    <t>Моisееv Аlеksаndr</t>
  </si>
  <si>
    <t>Masters 40-49 (11.11.1972)/46</t>
  </si>
  <si>
    <t>112,10</t>
  </si>
  <si>
    <t>Еphimеnkоv Аlеksаndr</t>
  </si>
  <si>
    <t>Masters 60-69 (09.09.1958)/60</t>
  </si>
  <si>
    <t>117,40</t>
  </si>
  <si>
    <t>Chubа Rоmаn</t>
  </si>
  <si>
    <t>Masters 60-69 (01.01.1954)/65</t>
  </si>
  <si>
    <t>112,70</t>
  </si>
  <si>
    <t>Peteris Isajevs</t>
  </si>
  <si>
    <t>Open (20.02.1984)/35</t>
  </si>
  <si>
    <t>134,30</t>
  </si>
  <si>
    <t>174,6725</t>
  </si>
  <si>
    <t>162,7920</t>
  </si>
  <si>
    <t>155,8920</t>
  </si>
  <si>
    <t xml:space="preserve">Masters 40-49 </t>
  </si>
  <si>
    <t>162,4842</t>
  </si>
  <si>
    <t>159,5280</t>
  </si>
  <si>
    <t>Europe Championship
WEPF Bench Press Single ply Doping Tested
Saint Petersburg, May 10-12, 2019</t>
  </si>
  <si>
    <t>Кrаvеts Sеrgеiy</t>
  </si>
  <si>
    <t>Open (06.09.1994)/24</t>
  </si>
  <si>
    <t>78,90</t>
  </si>
  <si>
    <t xml:space="preserve"> Iughno-Sakhalinsk</t>
  </si>
  <si>
    <t>Europe Championship
WEPF Bench Press Single ply
Saint Petersburg, May 10-12, 2019</t>
  </si>
  <si>
    <t xml:space="preserve">  Iughno-Sakhalinsk</t>
  </si>
  <si>
    <t>Bеlikоv Sеrgеiy</t>
  </si>
  <si>
    <t>Open (30.09.1964)/54</t>
  </si>
  <si>
    <t xml:space="preserve">  Saint Petersburg</t>
  </si>
  <si>
    <t>Кrаvtsоv Коnstаntin</t>
  </si>
  <si>
    <t>Open (26.10.1982)/36</t>
  </si>
  <si>
    <t>Zaitsev Sergei</t>
  </si>
  <si>
    <t>Open (25.05.1982)/36</t>
  </si>
  <si>
    <t>Recаiykin Мikhаil</t>
  </si>
  <si>
    <t>Masters 40-49 (19.07.1976)/42</t>
  </si>
  <si>
    <t>Riga</t>
  </si>
  <si>
    <t>Nikiphоrоv Аlеksаndr</t>
  </si>
  <si>
    <t>Open (04.01.1982)/37</t>
  </si>
  <si>
    <t>110,80</t>
  </si>
  <si>
    <t>Europe Championship
WEPF Bench Press Multi ply
Saint Petersburg, May 10-12, 2019</t>
  </si>
  <si>
    <t>Dudinеts Аndrеiy</t>
  </si>
  <si>
    <t>Open (02.06.1991)/27</t>
  </si>
  <si>
    <t>100,00</t>
  </si>
  <si>
    <t>Europe Championship
WEPF Bench Press Soft-equipment "Standard" Doping Tested
Saint Petersburg, May 10-12, 2019</t>
  </si>
  <si>
    <t>Gloss</t>
  </si>
  <si>
    <t>Кudryavtsеvа Еkаtеrinа</t>
  </si>
  <si>
    <t>Open (08.03.1988)/31</t>
  </si>
  <si>
    <t>54,65</t>
  </si>
  <si>
    <t>Khоvаnskiiy D.</t>
  </si>
  <si>
    <t>Vаsеtskаya Nаtаlya</t>
  </si>
  <si>
    <t>Open (13.10.1992)/26</t>
  </si>
  <si>
    <t>Khоlоdоv Iu.</t>
  </si>
  <si>
    <t>Drоbysh Аlinа</t>
  </si>
  <si>
    <t>Open (24.09.1990)/28</t>
  </si>
  <si>
    <t>Yakоvlеv Аlеksеiy</t>
  </si>
  <si>
    <t>Open (23.03.1989)/30</t>
  </si>
  <si>
    <t>67,15</t>
  </si>
  <si>
    <t xml:space="preserve">  Novosibirsk</t>
  </si>
  <si>
    <t>Nеbykоv Аlеksеiy</t>
  </si>
  <si>
    <t>Open (19.03.1966)/53</t>
  </si>
  <si>
    <t>81,85</t>
  </si>
  <si>
    <t>Тоrоpоv Аrtеm</t>
  </si>
  <si>
    <t>Open (05.10.1992)/26</t>
  </si>
  <si>
    <t>78,10</t>
  </si>
  <si>
    <t>Masters 50-59 (19.03.1966)/53</t>
  </si>
  <si>
    <t>Ivаnоv Igоr</t>
  </si>
  <si>
    <t>Open (05.08.1968)/50</t>
  </si>
  <si>
    <t xml:space="preserve">  Sosnovy Bor</t>
  </si>
  <si>
    <t>Pаnоv Vlаdislаv</t>
  </si>
  <si>
    <t>Open (26.05.1994)/24</t>
  </si>
  <si>
    <t xml:space="preserve">  Petropavlovsk-Kamchatskiy</t>
  </si>
  <si>
    <t>Skvоrtsоv Мikhаil</t>
  </si>
  <si>
    <t>Masters 40-49 (19.04.1970)/49</t>
  </si>
  <si>
    <t xml:space="preserve">Kronshtadt </t>
  </si>
  <si>
    <t>Masters 50-59 (05.08.1968)/50</t>
  </si>
  <si>
    <t>Sоkоlоv Аlеksеiy</t>
  </si>
  <si>
    <t>Open (10.10.1984)/34</t>
  </si>
  <si>
    <t>91,80</t>
  </si>
  <si>
    <t>Yarеmеnkо Nikitа</t>
  </si>
  <si>
    <t>Open (02.12.1991)/27</t>
  </si>
  <si>
    <t>95,55</t>
  </si>
  <si>
    <t xml:space="preserve">Simkin А. </t>
  </si>
  <si>
    <t>Pоpоv Igоr</t>
  </si>
  <si>
    <t>Masters 50-59 (11.09.1965)/53</t>
  </si>
  <si>
    <t>Smyshlyaеv Viktоr</t>
  </si>
  <si>
    <t>Masters 50-59 (20.05.1962)/56</t>
  </si>
  <si>
    <t xml:space="preserve">   Kudrovo</t>
  </si>
  <si>
    <t>Ryghоv Аlеksаndr</t>
  </si>
  <si>
    <t>Vаsilеv Dmitriiy</t>
  </si>
  <si>
    <t>Open (31.10.1979)/39</t>
  </si>
  <si>
    <t>106,40</t>
  </si>
  <si>
    <t>108,45</t>
  </si>
  <si>
    <t>0,0</t>
  </si>
  <si>
    <t>Vlаdimirоv Маksim</t>
  </si>
  <si>
    <t>Open (25.10.1981)/37</t>
  </si>
  <si>
    <t>302,5</t>
  </si>
  <si>
    <t>Gusеv Vlаdimir</t>
  </si>
  <si>
    <t>Open (01.09.1968)/50</t>
  </si>
  <si>
    <t>130,50</t>
  </si>
  <si>
    <t>Masters 50-59 (01.09.1968)/50</t>
  </si>
  <si>
    <t xml:space="preserve">Gloss </t>
  </si>
  <si>
    <t>175,5515</t>
  </si>
  <si>
    <t>169,0020</t>
  </si>
  <si>
    <t>168,5700</t>
  </si>
  <si>
    <t xml:space="preserve">Masters 50-59 </t>
  </si>
  <si>
    <t>184,1144</t>
  </si>
  <si>
    <t>175,7574</t>
  </si>
  <si>
    <t>173,2636</t>
  </si>
  <si>
    <t>Europe Championship
WEPF Bench Press Soft-equipment "Standard"
Saint Petersburg, May 10-12, 2019</t>
  </si>
  <si>
    <t>Тurаеvа Аnnа</t>
  </si>
  <si>
    <t>Open (18.08.1978)/40</t>
  </si>
  <si>
    <t xml:space="preserve">Tuapse </t>
  </si>
  <si>
    <t>Masters 40-49 (18.08.1978)/40</t>
  </si>
  <si>
    <t xml:space="preserve">   Novosibirsk</t>
  </si>
  <si>
    <t>Аntrоpоv Аlеksаndr</t>
  </si>
  <si>
    <t>Open (14.03.1969)/50</t>
  </si>
  <si>
    <t xml:space="preserve">   Vsevologhsk</t>
  </si>
  <si>
    <t>Fоmichеv К.</t>
  </si>
  <si>
    <t>Masters 50-59 (14.03.1969)/50</t>
  </si>
  <si>
    <t>Ghigulin Коnstаntin</t>
  </si>
  <si>
    <t>Open (03.10.1987)/31</t>
  </si>
  <si>
    <t>80,70</t>
  </si>
  <si>
    <t xml:space="preserve">Liubertsy </t>
  </si>
  <si>
    <t>Vаsilеv Еvgеniiy</t>
  </si>
  <si>
    <t>Open (15.08.1983)/35</t>
  </si>
  <si>
    <t>Zаvyalоv Gеnnаdiiy</t>
  </si>
  <si>
    <t>Masters 50-59 (27.11.1967)/51</t>
  </si>
  <si>
    <t>79,90</t>
  </si>
  <si>
    <t>Аvеtisyan Vаdim</t>
  </si>
  <si>
    <t>Fоmichiov К.</t>
  </si>
  <si>
    <t>Аltukhоv Аlеksаndr</t>
  </si>
  <si>
    <t>98,00</t>
  </si>
  <si>
    <t>Grаkhоv Iu.</t>
  </si>
  <si>
    <t>Biriukоv Vyachеslаv</t>
  </si>
  <si>
    <t>Open (07.08.1982)/36</t>
  </si>
  <si>
    <t>90,90</t>
  </si>
  <si>
    <t>Gusеv Sеrgеiy</t>
  </si>
  <si>
    <t>Open (18.03.1987)/32</t>
  </si>
  <si>
    <t>110,00</t>
  </si>
  <si>
    <t>352,5</t>
  </si>
  <si>
    <t>Ivаnоv Vlаdimir</t>
  </si>
  <si>
    <t>Open (27.05.1979)/39</t>
  </si>
  <si>
    <t>106,30</t>
  </si>
  <si>
    <t xml:space="preserve">Ivаnоv I., Brаgin А. </t>
  </si>
  <si>
    <t>Puzyrеv Dеnis</t>
  </si>
  <si>
    <t>Open (31.03.1974)/45</t>
  </si>
  <si>
    <t>109,30</t>
  </si>
  <si>
    <t xml:space="preserve">Serpukhov </t>
  </si>
  <si>
    <t xml:space="preserve">Grudеv А. </t>
  </si>
  <si>
    <t>Masters 40-49 (31.03.1974)/45</t>
  </si>
  <si>
    <t>Маkеiy Аlеksаndr</t>
  </si>
  <si>
    <t>Masters 50-59 (15.02.1964)/55</t>
  </si>
  <si>
    <t xml:space="preserve">Lida </t>
  </si>
  <si>
    <t>Nikitin Nikitа</t>
  </si>
  <si>
    <t>124,30</t>
  </si>
  <si>
    <t xml:space="preserve">Pskov </t>
  </si>
  <si>
    <t>Shlеpin Оlеg</t>
  </si>
  <si>
    <t>Open (08.07.1975)/43</t>
  </si>
  <si>
    <t>119,10</t>
  </si>
  <si>
    <t>110,10</t>
  </si>
  <si>
    <t>Masters 40-49 (08.07.1975)/43</t>
  </si>
  <si>
    <t>Каzаntsеv Vlаdimir</t>
  </si>
  <si>
    <t>Open (18.04.1992)/27</t>
  </si>
  <si>
    <t>372,5</t>
  </si>
  <si>
    <t>Sоbоlеvskiiy Еvgеniiy</t>
  </si>
  <si>
    <t>Open (18.07.1990)/28</t>
  </si>
  <si>
    <t>135,10</t>
  </si>
  <si>
    <t>Piklyaеvа D.</t>
  </si>
  <si>
    <t>201,9323</t>
  </si>
  <si>
    <t>188,9325</t>
  </si>
  <si>
    <t>187,0313</t>
  </si>
  <si>
    <t>Europe Championship
WEPF Bench Press Soft-equipment "Ultra"
Saint Petersburg, May 10-12, 2019</t>
  </si>
  <si>
    <t>Khоvаnskiiy Dmitriiy</t>
  </si>
  <si>
    <t>Open (26.05.1986)/32</t>
  </si>
  <si>
    <t>350,0</t>
  </si>
  <si>
    <t>Bykhоvеts А.</t>
  </si>
  <si>
    <t>Europe Championship
WRPF Bench Press among the athletes with the physical features
Saint Petersburg, May 10-12, 2019</t>
  </si>
  <si>
    <t>Pаvlоv Dmitriiy</t>
  </si>
  <si>
    <t>Open (14.03.1986)/33</t>
  </si>
  <si>
    <t>84,75</t>
  </si>
  <si>
    <t xml:space="preserve">Alushta </t>
  </si>
  <si>
    <t xml:space="preserve">Теmnеkоv V. </t>
  </si>
  <si>
    <t>Open (07.08.1958)/60</t>
  </si>
  <si>
    <t>Маkаrеnkо Коnstаntin</t>
  </si>
  <si>
    <t>Masters 40-49 (03.02.1973)/46</t>
  </si>
  <si>
    <t>101,20</t>
  </si>
  <si>
    <t xml:space="preserve">Evpatoriya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</si>
</sst>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">
      <selection activeCell="A1" sqref="A1:N2"/>
    </sheetView>
  </sheetViews>
  <sheetFormatPr defaultColWidth="9.125" defaultRowHeight="12.75"/>
  <cols>
    <col min="1" max="1" width="7.375" style="6" bestFit="1" customWidth="1"/>
    <col min="2" max="2" width="23.375" style="5" bestFit="1" customWidth="1"/>
    <col min="3" max="3" width="27.875" style="5" customWidth="1"/>
    <col min="4" max="4" width="15.00390625" style="5" customWidth="1"/>
    <col min="5" max="5" width="10.375" style="5" bestFit="1" customWidth="1"/>
    <col min="6" max="6" width="15.25390625" style="5" customWidth="1"/>
    <col min="7" max="7" width="20.375" style="5" bestFit="1" customWidth="1"/>
    <col min="8" max="10" width="5.375" style="6" bestFit="1" customWidth="1"/>
    <col min="11" max="11" width="4.875" style="6" bestFit="1" customWidth="1"/>
    <col min="12" max="12" width="11.25390625" style="28" bestFit="1" customWidth="1"/>
    <col min="13" max="13" width="8.375" style="6" bestFit="1" customWidth="1"/>
    <col min="14" max="14" width="27.875" style="5" customWidth="1"/>
    <col min="15" max="16384" width="9.125" style="3" customWidth="1"/>
  </cols>
  <sheetData>
    <row r="1" spans="1:14" s="2" customFormat="1" ht="28.5" customHeight="1">
      <c r="A1" s="51" t="s">
        <v>282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5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6"/>
      <c r="M4" s="61"/>
      <c r="N4" s="46"/>
    </row>
    <row r="5" spans="1:13" ht="15">
      <c r="A5" s="47" t="s">
        <v>11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4" t="s">
        <v>12</v>
      </c>
      <c r="B6" s="11" t="s">
        <v>284</v>
      </c>
      <c r="C6" s="11" t="s">
        <v>285</v>
      </c>
      <c r="D6" s="11" t="s">
        <v>286</v>
      </c>
      <c r="E6" s="11" t="str">
        <f>"1,3387"</f>
        <v>1,3387</v>
      </c>
      <c r="F6" s="11" t="s">
        <v>13</v>
      </c>
      <c r="G6" s="11" t="s">
        <v>287</v>
      </c>
      <c r="H6" s="13" t="s">
        <v>43</v>
      </c>
      <c r="I6" s="13" t="s">
        <v>58</v>
      </c>
      <c r="J6" s="13" t="s">
        <v>25</v>
      </c>
      <c r="K6" s="14"/>
      <c r="L6" s="26" t="str">
        <f>"70,0"</f>
        <v>70,0</v>
      </c>
      <c r="M6" s="14" t="str">
        <f>"93,7090"</f>
        <v>93,7090</v>
      </c>
      <c r="N6" s="11" t="s">
        <v>288</v>
      </c>
    </row>
    <row r="7" spans="1:14" ht="12.75">
      <c r="A7" s="21" t="s">
        <v>48</v>
      </c>
      <c r="B7" s="19" t="s">
        <v>289</v>
      </c>
      <c r="C7" s="19" t="s">
        <v>290</v>
      </c>
      <c r="D7" s="19" t="s">
        <v>291</v>
      </c>
      <c r="E7" s="19" t="str">
        <f>"1,3244"</f>
        <v>1,3244</v>
      </c>
      <c r="F7" s="19" t="s">
        <v>13</v>
      </c>
      <c r="G7" s="19" t="s">
        <v>177</v>
      </c>
      <c r="H7" s="20" t="s">
        <v>44</v>
      </c>
      <c r="I7" s="20" t="s">
        <v>58</v>
      </c>
      <c r="J7" s="22" t="s">
        <v>15</v>
      </c>
      <c r="K7" s="21"/>
      <c r="L7" s="27" t="str">
        <f>"65,0"</f>
        <v>65,0</v>
      </c>
      <c r="M7" s="21" t="str">
        <f>"86,0860"</f>
        <v>86,0860</v>
      </c>
      <c r="N7" s="19" t="s">
        <v>292</v>
      </c>
    </row>
    <row r="8" ht="12.75">
      <c r="B8" s="5" t="s">
        <v>29</v>
      </c>
    </row>
    <row r="9" spans="1:13" ht="15">
      <c r="A9" s="49" t="s">
        <v>30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 ht="12.75">
      <c r="A10" s="10" t="s">
        <v>12</v>
      </c>
      <c r="B10" s="7" t="s">
        <v>31</v>
      </c>
      <c r="C10" s="7" t="s">
        <v>32</v>
      </c>
      <c r="D10" s="7" t="s">
        <v>33</v>
      </c>
      <c r="E10" s="7" t="str">
        <f>"1,2730"</f>
        <v>1,2730</v>
      </c>
      <c r="F10" s="7" t="s">
        <v>13</v>
      </c>
      <c r="G10" s="7" t="s">
        <v>34</v>
      </c>
      <c r="H10" s="8" t="s">
        <v>35</v>
      </c>
      <c r="I10" s="9" t="s">
        <v>36</v>
      </c>
      <c r="J10" s="9" t="s">
        <v>36</v>
      </c>
      <c r="K10" s="10"/>
      <c r="L10" s="29" t="str">
        <f>"50,0"</f>
        <v>50,0</v>
      </c>
      <c r="M10" s="10" t="str">
        <f>"63,6500"</f>
        <v>63,6500</v>
      </c>
      <c r="N10" s="7" t="s">
        <v>38</v>
      </c>
    </row>
    <row r="11" ht="12.75">
      <c r="B11" s="5" t="s">
        <v>29</v>
      </c>
    </row>
    <row r="12" spans="1:13" ht="15">
      <c r="A12" s="49" t="s">
        <v>245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4" ht="12.75">
      <c r="A13" s="14" t="s">
        <v>12</v>
      </c>
      <c r="B13" s="11" t="s">
        <v>293</v>
      </c>
      <c r="C13" s="11" t="s">
        <v>294</v>
      </c>
      <c r="D13" s="11" t="s">
        <v>295</v>
      </c>
      <c r="E13" s="11" t="str">
        <f>"1,2054"</f>
        <v>1,2054</v>
      </c>
      <c r="F13" s="11" t="s">
        <v>13</v>
      </c>
      <c r="G13" s="11" t="s">
        <v>296</v>
      </c>
      <c r="H13" s="13" t="s">
        <v>15</v>
      </c>
      <c r="I13" s="13" t="s">
        <v>25</v>
      </c>
      <c r="J13" s="13" t="s">
        <v>172</v>
      </c>
      <c r="K13" s="14"/>
      <c r="L13" s="26" t="str">
        <f>"72,5"</f>
        <v>72,5</v>
      </c>
      <c r="M13" s="14" t="str">
        <f>"87,3915"</f>
        <v>87,3915</v>
      </c>
      <c r="N13" s="11" t="s">
        <v>297</v>
      </c>
    </row>
    <row r="14" spans="1:14" ht="12.75">
      <c r="A14" s="17" t="s">
        <v>48</v>
      </c>
      <c r="B14" s="15" t="s">
        <v>298</v>
      </c>
      <c r="C14" s="15" t="s">
        <v>299</v>
      </c>
      <c r="D14" s="15" t="s">
        <v>300</v>
      </c>
      <c r="E14" s="15" t="str">
        <f>"1,1816"</f>
        <v>1,1816</v>
      </c>
      <c r="F14" s="15" t="s">
        <v>13</v>
      </c>
      <c r="G14" s="15" t="s">
        <v>301</v>
      </c>
      <c r="H14" s="16" t="s">
        <v>36</v>
      </c>
      <c r="I14" s="16" t="s">
        <v>43</v>
      </c>
      <c r="J14" s="16" t="s">
        <v>44</v>
      </c>
      <c r="K14" s="17"/>
      <c r="L14" s="30" t="str">
        <f>"62,5"</f>
        <v>62,5</v>
      </c>
      <c r="M14" s="17" t="str">
        <f>"73,8500"</f>
        <v>73,8500</v>
      </c>
      <c r="N14" s="15" t="s">
        <v>302</v>
      </c>
    </row>
    <row r="15" spans="1:14" ht="12.75">
      <c r="A15" s="17" t="s">
        <v>50</v>
      </c>
      <c r="B15" s="15" t="s">
        <v>303</v>
      </c>
      <c r="C15" s="15" t="s">
        <v>304</v>
      </c>
      <c r="D15" s="15" t="s">
        <v>305</v>
      </c>
      <c r="E15" s="15" t="str">
        <f>"1,1766"</f>
        <v>1,1766</v>
      </c>
      <c r="F15" s="15" t="s">
        <v>13</v>
      </c>
      <c r="G15" s="15" t="s">
        <v>306</v>
      </c>
      <c r="H15" s="16" t="s">
        <v>20</v>
      </c>
      <c r="I15" s="16" t="s">
        <v>35</v>
      </c>
      <c r="J15" s="16" t="s">
        <v>53</v>
      </c>
      <c r="K15" s="17"/>
      <c r="L15" s="30" t="str">
        <f>"52,5"</f>
        <v>52,5</v>
      </c>
      <c r="M15" s="17" t="str">
        <f>"61,7715"</f>
        <v>61,7715</v>
      </c>
      <c r="N15" s="15" t="s">
        <v>307</v>
      </c>
    </row>
    <row r="16" spans="1:14" ht="12.75">
      <c r="A16" s="21" t="s">
        <v>101</v>
      </c>
      <c r="B16" s="19" t="s">
        <v>308</v>
      </c>
      <c r="C16" s="19" t="s">
        <v>309</v>
      </c>
      <c r="D16" s="19" t="s">
        <v>310</v>
      </c>
      <c r="E16" s="19" t="str">
        <f>"1,1916"</f>
        <v>1,1916</v>
      </c>
      <c r="F16" s="19" t="s">
        <v>13</v>
      </c>
      <c r="G16" s="19" t="s">
        <v>52</v>
      </c>
      <c r="H16" s="20" t="s">
        <v>19</v>
      </c>
      <c r="I16" s="22" t="s">
        <v>20</v>
      </c>
      <c r="J16" s="22" t="s">
        <v>20</v>
      </c>
      <c r="K16" s="21"/>
      <c r="L16" s="27" t="str">
        <f>"45,0"</f>
        <v>45,0</v>
      </c>
      <c r="M16" s="21" t="str">
        <f>"53,6220"</f>
        <v>53,6220</v>
      </c>
      <c r="N16" s="19" t="s">
        <v>47</v>
      </c>
    </row>
    <row r="17" ht="12.75">
      <c r="B17" s="5" t="s">
        <v>29</v>
      </c>
    </row>
    <row r="18" spans="1:13" ht="15">
      <c r="A18" s="49" t="s">
        <v>39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4" ht="12.75">
      <c r="A19" s="14" t="s">
        <v>102</v>
      </c>
      <c r="B19" s="11" t="s">
        <v>311</v>
      </c>
      <c r="C19" s="11" t="s">
        <v>312</v>
      </c>
      <c r="D19" s="11" t="s">
        <v>67</v>
      </c>
      <c r="E19" s="11" t="str">
        <f>"1,1207"</f>
        <v>1,1207</v>
      </c>
      <c r="F19" s="11" t="s">
        <v>13</v>
      </c>
      <c r="G19" s="11" t="s">
        <v>313</v>
      </c>
      <c r="H19" s="12" t="s">
        <v>16</v>
      </c>
      <c r="I19" s="12" t="s">
        <v>16</v>
      </c>
      <c r="J19" s="14"/>
      <c r="K19" s="14"/>
      <c r="L19" s="26">
        <v>0</v>
      </c>
      <c r="M19" s="14" t="str">
        <f>"0,0000"</f>
        <v>0,0000</v>
      </c>
      <c r="N19" s="11" t="s">
        <v>314</v>
      </c>
    </row>
    <row r="20" spans="1:14" ht="12.75">
      <c r="A20" s="17" t="s">
        <v>12</v>
      </c>
      <c r="B20" s="15" t="s">
        <v>315</v>
      </c>
      <c r="C20" s="15" t="s">
        <v>316</v>
      </c>
      <c r="D20" s="15" t="s">
        <v>317</v>
      </c>
      <c r="E20" s="15" t="str">
        <f>"1,1525"</f>
        <v>1,1525</v>
      </c>
      <c r="F20" s="15" t="s">
        <v>13</v>
      </c>
      <c r="G20" s="15" t="s">
        <v>296</v>
      </c>
      <c r="H20" s="16" t="s">
        <v>172</v>
      </c>
      <c r="I20" s="16" t="s">
        <v>168</v>
      </c>
      <c r="J20" s="18" t="s">
        <v>26</v>
      </c>
      <c r="K20" s="17"/>
      <c r="L20" s="30" t="str">
        <f>"77,5"</f>
        <v>77,5</v>
      </c>
      <c r="M20" s="17" t="str">
        <f>"89,3188"</f>
        <v>89,3188</v>
      </c>
      <c r="N20" s="15" t="s">
        <v>47</v>
      </c>
    </row>
    <row r="21" spans="1:14" ht="12.75">
      <c r="A21" s="17" t="s">
        <v>48</v>
      </c>
      <c r="B21" s="15" t="s">
        <v>318</v>
      </c>
      <c r="C21" s="15" t="s">
        <v>319</v>
      </c>
      <c r="D21" s="15" t="s">
        <v>51</v>
      </c>
      <c r="E21" s="15" t="str">
        <f>"1,1371"</f>
        <v>1,1371</v>
      </c>
      <c r="F21" s="15" t="s">
        <v>13</v>
      </c>
      <c r="G21" s="15" t="s">
        <v>320</v>
      </c>
      <c r="H21" s="16" t="s">
        <v>19</v>
      </c>
      <c r="I21" s="18" t="s">
        <v>20</v>
      </c>
      <c r="J21" s="18" t="s">
        <v>20</v>
      </c>
      <c r="K21" s="17"/>
      <c r="L21" s="30" t="str">
        <f>"45,0"</f>
        <v>45,0</v>
      </c>
      <c r="M21" s="17" t="str">
        <f>"51,1695"</f>
        <v>51,1695</v>
      </c>
      <c r="N21" s="15" t="s">
        <v>321</v>
      </c>
    </row>
    <row r="22" spans="1:14" ht="12.75">
      <c r="A22" s="21" t="s">
        <v>12</v>
      </c>
      <c r="B22" s="19" t="s">
        <v>322</v>
      </c>
      <c r="C22" s="19" t="s">
        <v>323</v>
      </c>
      <c r="D22" s="19" t="s">
        <v>40</v>
      </c>
      <c r="E22" s="19" t="str">
        <f>"1,1149"</f>
        <v>1,1149</v>
      </c>
      <c r="F22" s="19" t="s">
        <v>13</v>
      </c>
      <c r="G22" s="19" t="s">
        <v>177</v>
      </c>
      <c r="H22" s="20" t="s">
        <v>18</v>
      </c>
      <c r="I22" s="20" t="s">
        <v>19</v>
      </c>
      <c r="J22" s="22" t="s">
        <v>20</v>
      </c>
      <c r="K22" s="21"/>
      <c r="L22" s="27" t="str">
        <f>"45,0"</f>
        <v>45,0</v>
      </c>
      <c r="M22" s="21" t="str">
        <f>"50,4214"</f>
        <v>50,4214</v>
      </c>
      <c r="N22" s="19" t="s">
        <v>292</v>
      </c>
    </row>
    <row r="23" ht="12.75">
      <c r="B23" s="5" t="s">
        <v>29</v>
      </c>
    </row>
    <row r="24" spans="1:13" ht="15">
      <c r="A24" s="49" t="s">
        <v>54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4" ht="12.75">
      <c r="A25" s="10" t="s">
        <v>12</v>
      </c>
      <c r="B25" s="7" t="s">
        <v>324</v>
      </c>
      <c r="C25" s="7" t="s">
        <v>325</v>
      </c>
      <c r="D25" s="7" t="s">
        <v>72</v>
      </c>
      <c r="E25" s="7" t="str">
        <f>"1,0420"</f>
        <v>1,0420</v>
      </c>
      <c r="F25" s="7" t="s">
        <v>13</v>
      </c>
      <c r="G25" s="7" t="s">
        <v>296</v>
      </c>
      <c r="H25" s="8" t="s">
        <v>58</v>
      </c>
      <c r="I25" s="9" t="s">
        <v>15</v>
      </c>
      <c r="J25" s="8" t="s">
        <v>15</v>
      </c>
      <c r="K25" s="10"/>
      <c r="L25" s="29" t="str">
        <f>"67,5"</f>
        <v>67,5</v>
      </c>
      <c r="M25" s="10" t="str">
        <f>"70,3350"</f>
        <v>70,3350</v>
      </c>
      <c r="N25" s="7" t="s">
        <v>297</v>
      </c>
    </row>
    <row r="26" ht="12.75">
      <c r="B26" s="5" t="s">
        <v>29</v>
      </c>
    </row>
    <row r="27" spans="1:13" ht="15">
      <c r="A27" s="49" t="s">
        <v>82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4" ht="12.75">
      <c r="A28" s="10" t="s">
        <v>12</v>
      </c>
      <c r="B28" s="7" t="s">
        <v>326</v>
      </c>
      <c r="C28" s="7" t="s">
        <v>327</v>
      </c>
      <c r="D28" s="7" t="s">
        <v>328</v>
      </c>
      <c r="E28" s="7" t="str">
        <f>"0,9806"</f>
        <v>0,9806</v>
      </c>
      <c r="F28" s="7" t="s">
        <v>13</v>
      </c>
      <c r="G28" s="7" t="s">
        <v>52</v>
      </c>
      <c r="H28" s="8" t="s">
        <v>28</v>
      </c>
      <c r="I28" s="9" t="s">
        <v>171</v>
      </c>
      <c r="J28" s="9" t="s">
        <v>171</v>
      </c>
      <c r="K28" s="10"/>
      <c r="L28" s="29" t="str">
        <f>"105,0"</f>
        <v>105,0</v>
      </c>
      <c r="M28" s="10" t="str">
        <f>"102,9630"</f>
        <v>102,9630</v>
      </c>
      <c r="N28" s="7" t="s">
        <v>47</v>
      </c>
    </row>
    <row r="29" ht="12.75">
      <c r="B29" s="5" t="s">
        <v>29</v>
      </c>
    </row>
    <row r="30" spans="1:13" ht="15">
      <c r="A30" s="49" t="s">
        <v>105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4" ht="12.75">
      <c r="A31" s="14" t="s">
        <v>12</v>
      </c>
      <c r="B31" s="11" t="s">
        <v>329</v>
      </c>
      <c r="C31" s="11" t="s">
        <v>330</v>
      </c>
      <c r="D31" s="11" t="s">
        <v>331</v>
      </c>
      <c r="E31" s="11" t="str">
        <f>"0,9444"</f>
        <v>0,9444</v>
      </c>
      <c r="F31" s="11" t="s">
        <v>13</v>
      </c>
      <c r="G31" s="11" t="s">
        <v>52</v>
      </c>
      <c r="H31" s="13" t="s">
        <v>43</v>
      </c>
      <c r="I31" s="13" t="s">
        <v>58</v>
      </c>
      <c r="J31" s="12" t="s">
        <v>25</v>
      </c>
      <c r="K31" s="14"/>
      <c r="L31" s="26" t="str">
        <f>"65,0"</f>
        <v>65,0</v>
      </c>
      <c r="M31" s="14" t="str">
        <f>"61,3860"</f>
        <v>61,3860</v>
      </c>
      <c r="N31" s="11" t="s">
        <v>332</v>
      </c>
    </row>
    <row r="32" spans="1:14" ht="12.75">
      <c r="A32" s="17" t="s">
        <v>12</v>
      </c>
      <c r="B32" s="15" t="s">
        <v>333</v>
      </c>
      <c r="C32" s="15" t="s">
        <v>334</v>
      </c>
      <c r="D32" s="15" t="s">
        <v>274</v>
      </c>
      <c r="E32" s="15" t="str">
        <f>"0,9000"</f>
        <v>0,9000</v>
      </c>
      <c r="F32" s="15" t="s">
        <v>13</v>
      </c>
      <c r="G32" s="15" t="s">
        <v>52</v>
      </c>
      <c r="H32" s="16" t="s">
        <v>43</v>
      </c>
      <c r="I32" s="16" t="s">
        <v>44</v>
      </c>
      <c r="J32" s="16" t="s">
        <v>58</v>
      </c>
      <c r="K32" s="17"/>
      <c r="L32" s="30" t="str">
        <f>"65,0"</f>
        <v>65,0</v>
      </c>
      <c r="M32" s="17" t="str">
        <f>"58,5000"</f>
        <v>58,5000</v>
      </c>
      <c r="N32" s="15" t="s">
        <v>335</v>
      </c>
    </row>
    <row r="33" spans="1:14" ht="12.75">
      <c r="A33" s="21" t="s">
        <v>48</v>
      </c>
      <c r="B33" s="19" t="s">
        <v>336</v>
      </c>
      <c r="C33" s="19" t="s">
        <v>337</v>
      </c>
      <c r="D33" s="19" t="s">
        <v>252</v>
      </c>
      <c r="E33" s="19" t="str">
        <f>"0,9256"</f>
        <v>0,9256</v>
      </c>
      <c r="F33" s="19" t="s">
        <v>13</v>
      </c>
      <c r="G33" s="19" t="s">
        <v>247</v>
      </c>
      <c r="H33" s="20" t="s">
        <v>36</v>
      </c>
      <c r="I33" s="20" t="s">
        <v>43</v>
      </c>
      <c r="J33" s="20" t="s">
        <v>44</v>
      </c>
      <c r="K33" s="21"/>
      <c r="L33" s="27" t="str">
        <f>"62,5"</f>
        <v>62,5</v>
      </c>
      <c r="M33" s="21" t="str">
        <f>"57,8500"</f>
        <v>57,8500</v>
      </c>
      <c r="N33" s="19" t="s">
        <v>248</v>
      </c>
    </row>
    <row r="34" ht="12.75">
      <c r="B34" s="5" t="s">
        <v>29</v>
      </c>
    </row>
    <row r="35" spans="1:13" ht="15">
      <c r="A35" s="49" t="s">
        <v>30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4" ht="12.75">
      <c r="A36" s="10" t="s">
        <v>12</v>
      </c>
      <c r="B36" s="7" t="s">
        <v>338</v>
      </c>
      <c r="C36" s="7" t="s">
        <v>339</v>
      </c>
      <c r="D36" s="7" t="s">
        <v>340</v>
      </c>
      <c r="E36" s="7" t="str">
        <f>"1,0254"</f>
        <v>1,0254</v>
      </c>
      <c r="F36" s="7" t="s">
        <v>13</v>
      </c>
      <c r="G36" s="7" t="s">
        <v>341</v>
      </c>
      <c r="H36" s="8" t="s">
        <v>174</v>
      </c>
      <c r="I36" s="9" t="s">
        <v>68</v>
      </c>
      <c r="J36" s="8" t="s">
        <v>68</v>
      </c>
      <c r="K36" s="10"/>
      <c r="L36" s="29" t="str">
        <f>"115,0"</f>
        <v>115,0</v>
      </c>
      <c r="M36" s="10" t="str">
        <f>"117,9210"</f>
        <v>117,9210</v>
      </c>
      <c r="N36" s="7" t="s">
        <v>47</v>
      </c>
    </row>
    <row r="37" ht="12.75">
      <c r="B37" s="5" t="s">
        <v>29</v>
      </c>
    </row>
    <row r="38" spans="1:13" ht="15">
      <c r="A38" s="49" t="s">
        <v>245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4" ht="12.75">
      <c r="A39" s="10" t="s">
        <v>12</v>
      </c>
      <c r="B39" s="7" t="s">
        <v>342</v>
      </c>
      <c r="C39" s="7" t="s">
        <v>343</v>
      </c>
      <c r="D39" s="7" t="s">
        <v>344</v>
      </c>
      <c r="E39" s="7" t="str">
        <f>"0,9300"</f>
        <v>0,9300</v>
      </c>
      <c r="F39" s="7" t="s">
        <v>13</v>
      </c>
      <c r="G39" s="7" t="s">
        <v>52</v>
      </c>
      <c r="H39" s="8" t="s">
        <v>43</v>
      </c>
      <c r="I39" s="9" t="s">
        <v>44</v>
      </c>
      <c r="J39" s="9" t="s">
        <v>44</v>
      </c>
      <c r="K39" s="10"/>
      <c r="L39" s="29" t="str">
        <f>"60,0"</f>
        <v>60,0</v>
      </c>
      <c r="M39" s="10" t="str">
        <f>"55,8000"</f>
        <v>55,8000</v>
      </c>
      <c r="N39" s="7" t="s">
        <v>345</v>
      </c>
    </row>
    <row r="40" ht="12.75">
      <c r="B40" s="5" t="s">
        <v>29</v>
      </c>
    </row>
    <row r="41" spans="1:13" ht="15">
      <c r="A41" s="49" t="s">
        <v>245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4" ht="12.75">
      <c r="A42" s="10" t="s">
        <v>12</v>
      </c>
      <c r="B42" s="7" t="s">
        <v>346</v>
      </c>
      <c r="C42" s="7" t="s">
        <v>347</v>
      </c>
      <c r="D42" s="7" t="s">
        <v>348</v>
      </c>
      <c r="E42" s="7" t="str">
        <f>"0,9200"</f>
        <v>0,9200</v>
      </c>
      <c r="F42" s="7" t="s">
        <v>13</v>
      </c>
      <c r="G42" s="7" t="s">
        <v>52</v>
      </c>
      <c r="H42" s="8" t="s">
        <v>42</v>
      </c>
      <c r="I42" s="8" t="s">
        <v>44</v>
      </c>
      <c r="J42" s="9" t="s">
        <v>58</v>
      </c>
      <c r="K42" s="10"/>
      <c r="L42" s="29" t="str">
        <f>"62,5"</f>
        <v>62,5</v>
      </c>
      <c r="M42" s="10" t="str">
        <f>"57,5000"</f>
        <v>57,5000</v>
      </c>
      <c r="N42" s="7" t="s">
        <v>349</v>
      </c>
    </row>
    <row r="43" ht="12.75">
      <c r="B43" s="5" t="s">
        <v>29</v>
      </c>
    </row>
    <row r="44" spans="1:13" ht="15">
      <c r="A44" s="49" t="s">
        <v>39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4" ht="12.75">
      <c r="A45" s="10" t="s">
        <v>12</v>
      </c>
      <c r="B45" s="7" t="s">
        <v>350</v>
      </c>
      <c r="C45" s="7" t="s">
        <v>351</v>
      </c>
      <c r="D45" s="7" t="s">
        <v>352</v>
      </c>
      <c r="E45" s="7" t="str">
        <f>"0,8717"</f>
        <v>0,8717</v>
      </c>
      <c r="F45" s="7" t="s">
        <v>13</v>
      </c>
      <c r="G45" s="7" t="s">
        <v>296</v>
      </c>
      <c r="H45" s="8" t="s">
        <v>28</v>
      </c>
      <c r="I45" s="8" t="s">
        <v>55</v>
      </c>
      <c r="J45" s="8" t="s">
        <v>174</v>
      </c>
      <c r="K45" s="10"/>
      <c r="L45" s="29" t="str">
        <f>"112,5"</f>
        <v>112,5</v>
      </c>
      <c r="M45" s="10" t="str">
        <f>"98,0662"</f>
        <v>98,0662</v>
      </c>
      <c r="N45" s="7" t="s">
        <v>353</v>
      </c>
    </row>
    <row r="46" ht="12.75">
      <c r="B46" s="5" t="s">
        <v>29</v>
      </c>
    </row>
    <row r="47" spans="1:13" ht="15">
      <c r="A47" s="49" t="s">
        <v>54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4" ht="12.75">
      <c r="A48" s="14" t="s">
        <v>12</v>
      </c>
      <c r="B48" s="11" t="s">
        <v>354</v>
      </c>
      <c r="C48" s="11" t="s">
        <v>355</v>
      </c>
      <c r="D48" s="11" t="s">
        <v>80</v>
      </c>
      <c r="E48" s="11" t="str">
        <f>"0,7911"</f>
        <v>0,7911</v>
      </c>
      <c r="F48" s="11" t="s">
        <v>13</v>
      </c>
      <c r="G48" s="11" t="s">
        <v>296</v>
      </c>
      <c r="H48" s="13" t="s">
        <v>16</v>
      </c>
      <c r="I48" s="13" t="s">
        <v>26</v>
      </c>
      <c r="J48" s="12" t="s">
        <v>17</v>
      </c>
      <c r="K48" s="14"/>
      <c r="L48" s="26" t="str">
        <f>"80,0"</f>
        <v>80,0</v>
      </c>
      <c r="M48" s="14" t="str">
        <f>"63,2880"</f>
        <v>63,2880</v>
      </c>
      <c r="N48" s="11" t="s">
        <v>356</v>
      </c>
    </row>
    <row r="49" spans="1:14" ht="12.75">
      <c r="A49" s="17" t="s">
        <v>12</v>
      </c>
      <c r="B49" s="15" t="s">
        <v>357</v>
      </c>
      <c r="C49" s="15" t="s">
        <v>358</v>
      </c>
      <c r="D49" s="15" t="s">
        <v>359</v>
      </c>
      <c r="E49" s="15" t="str">
        <f>"0,7832"</f>
        <v>0,7832</v>
      </c>
      <c r="F49" s="15" t="s">
        <v>13</v>
      </c>
      <c r="G49" s="15" t="s">
        <v>177</v>
      </c>
      <c r="H49" s="16" t="s">
        <v>37</v>
      </c>
      <c r="I49" s="16" t="s">
        <v>173</v>
      </c>
      <c r="J49" s="18" t="s">
        <v>28</v>
      </c>
      <c r="K49" s="17"/>
      <c r="L49" s="30" t="str">
        <f>"102,5"</f>
        <v>102,5</v>
      </c>
      <c r="M49" s="17" t="str">
        <f>"80,2780"</f>
        <v>80,2780</v>
      </c>
      <c r="N49" s="15" t="s">
        <v>193</v>
      </c>
    </row>
    <row r="50" spans="1:14" ht="12.75">
      <c r="A50" s="17" t="s">
        <v>12</v>
      </c>
      <c r="B50" s="15" t="s">
        <v>360</v>
      </c>
      <c r="C50" s="15" t="s">
        <v>361</v>
      </c>
      <c r="D50" s="15" t="s">
        <v>359</v>
      </c>
      <c r="E50" s="15" t="str">
        <f>"0,7832"</f>
        <v>0,7832</v>
      </c>
      <c r="F50" s="15" t="s">
        <v>13</v>
      </c>
      <c r="G50" s="15" t="s">
        <v>52</v>
      </c>
      <c r="H50" s="16" t="s">
        <v>171</v>
      </c>
      <c r="I50" s="18" t="s">
        <v>57</v>
      </c>
      <c r="J50" s="18" t="s">
        <v>57</v>
      </c>
      <c r="K50" s="17"/>
      <c r="L50" s="30" t="str">
        <f>"107,5"</f>
        <v>107,5</v>
      </c>
      <c r="M50" s="17" t="str">
        <f>"84,1940"</f>
        <v>84,1940</v>
      </c>
      <c r="N50" s="15" t="s">
        <v>47</v>
      </c>
    </row>
    <row r="51" spans="1:14" ht="12.75">
      <c r="A51" s="17" t="s">
        <v>48</v>
      </c>
      <c r="B51" s="15" t="s">
        <v>362</v>
      </c>
      <c r="C51" s="15" t="s">
        <v>363</v>
      </c>
      <c r="D51" s="15" t="s">
        <v>364</v>
      </c>
      <c r="E51" s="15" t="str">
        <f>"0,7813"</f>
        <v>0,7813</v>
      </c>
      <c r="F51" s="15" t="s">
        <v>13</v>
      </c>
      <c r="G51" s="15" t="s">
        <v>365</v>
      </c>
      <c r="H51" s="18" t="s">
        <v>173</v>
      </c>
      <c r="I51" s="16" t="s">
        <v>171</v>
      </c>
      <c r="J51" s="18" t="s">
        <v>68</v>
      </c>
      <c r="K51" s="17"/>
      <c r="L51" s="30" t="str">
        <f>"107,5"</f>
        <v>107,5</v>
      </c>
      <c r="M51" s="17" t="str">
        <f>"83,9898"</f>
        <v>83,9898</v>
      </c>
      <c r="N51" s="15" t="s">
        <v>47</v>
      </c>
    </row>
    <row r="52" spans="1:14" ht="12.75">
      <c r="A52" s="17" t="s">
        <v>50</v>
      </c>
      <c r="B52" s="15" t="s">
        <v>366</v>
      </c>
      <c r="C52" s="15" t="s">
        <v>367</v>
      </c>
      <c r="D52" s="15" t="s">
        <v>251</v>
      </c>
      <c r="E52" s="15" t="str">
        <f>"0,7729"</f>
        <v>0,7729</v>
      </c>
      <c r="F52" s="15" t="s">
        <v>13</v>
      </c>
      <c r="G52" s="15" t="s">
        <v>247</v>
      </c>
      <c r="H52" s="16" t="s">
        <v>23</v>
      </c>
      <c r="I52" s="18" t="s">
        <v>171</v>
      </c>
      <c r="J52" s="18" t="s">
        <v>171</v>
      </c>
      <c r="K52" s="17"/>
      <c r="L52" s="30" t="str">
        <f>"100,0"</f>
        <v>100,0</v>
      </c>
      <c r="M52" s="17" t="str">
        <f>"77,2900"</f>
        <v>77,2900</v>
      </c>
      <c r="N52" s="15" t="s">
        <v>47</v>
      </c>
    </row>
    <row r="53" spans="1:14" ht="12.75">
      <c r="A53" s="17" t="s">
        <v>12</v>
      </c>
      <c r="B53" s="15" t="s">
        <v>368</v>
      </c>
      <c r="C53" s="15" t="s">
        <v>369</v>
      </c>
      <c r="D53" s="15" t="s">
        <v>212</v>
      </c>
      <c r="E53" s="15" t="str">
        <f>"0,7785"</f>
        <v>0,7785</v>
      </c>
      <c r="F53" s="15" t="s">
        <v>13</v>
      </c>
      <c r="G53" s="15" t="s">
        <v>370</v>
      </c>
      <c r="H53" s="16" t="s">
        <v>73</v>
      </c>
      <c r="I53" s="16" t="s">
        <v>59</v>
      </c>
      <c r="J53" s="18" t="s">
        <v>81</v>
      </c>
      <c r="K53" s="17"/>
      <c r="L53" s="30" t="str">
        <f>"125,0"</f>
        <v>125,0</v>
      </c>
      <c r="M53" s="17" t="str">
        <f>"97,3125"</f>
        <v>97,3125</v>
      </c>
      <c r="N53" s="15" t="s">
        <v>47</v>
      </c>
    </row>
    <row r="54" spans="1:14" ht="12.75">
      <c r="A54" s="17" t="s">
        <v>48</v>
      </c>
      <c r="B54" s="15" t="s">
        <v>371</v>
      </c>
      <c r="C54" s="15" t="s">
        <v>372</v>
      </c>
      <c r="D54" s="15" t="s">
        <v>176</v>
      </c>
      <c r="E54" s="15" t="str">
        <f>"0,7852"</f>
        <v>0,7852</v>
      </c>
      <c r="F54" s="15" t="s">
        <v>13</v>
      </c>
      <c r="G54" s="15" t="s">
        <v>52</v>
      </c>
      <c r="H54" s="16" t="s">
        <v>55</v>
      </c>
      <c r="I54" s="18" t="s">
        <v>59</v>
      </c>
      <c r="J54" s="18" t="s">
        <v>59</v>
      </c>
      <c r="K54" s="17"/>
      <c r="L54" s="30" t="str">
        <f>"110,0"</f>
        <v>110,0</v>
      </c>
      <c r="M54" s="17" t="str">
        <f>"86,3720"</f>
        <v>86,3720</v>
      </c>
      <c r="N54" s="15" t="s">
        <v>47</v>
      </c>
    </row>
    <row r="55" spans="1:14" ht="12.75">
      <c r="A55" s="17" t="s">
        <v>50</v>
      </c>
      <c r="B55" s="15" t="s">
        <v>373</v>
      </c>
      <c r="C55" s="15" t="s">
        <v>374</v>
      </c>
      <c r="D55" s="15" t="s">
        <v>375</v>
      </c>
      <c r="E55" s="15" t="str">
        <f>"0,7738"</f>
        <v>0,7738</v>
      </c>
      <c r="F55" s="15" t="s">
        <v>13</v>
      </c>
      <c r="G55" s="15" t="s">
        <v>376</v>
      </c>
      <c r="H55" s="16" t="s">
        <v>55</v>
      </c>
      <c r="I55" s="18" t="s">
        <v>73</v>
      </c>
      <c r="J55" s="18" t="s">
        <v>73</v>
      </c>
      <c r="K55" s="17"/>
      <c r="L55" s="30" t="str">
        <f>"110,0"</f>
        <v>110,0</v>
      </c>
      <c r="M55" s="17" t="str">
        <f>"85,1180"</f>
        <v>85,1180</v>
      </c>
      <c r="N55" s="15" t="s">
        <v>47</v>
      </c>
    </row>
    <row r="56" spans="1:14" ht="12.75">
      <c r="A56" s="21" t="s">
        <v>12</v>
      </c>
      <c r="B56" s="19" t="s">
        <v>249</v>
      </c>
      <c r="C56" s="19" t="s">
        <v>250</v>
      </c>
      <c r="D56" s="19" t="s">
        <v>251</v>
      </c>
      <c r="E56" s="19" t="str">
        <f>"0,7729"</f>
        <v>0,7729</v>
      </c>
      <c r="F56" s="19" t="s">
        <v>13</v>
      </c>
      <c r="G56" s="19" t="s">
        <v>52</v>
      </c>
      <c r="H56" s="20" t="s">
        <v>55</v>
      </c>
      <c r="I56" s="20" t="s">
        <v>57</v>
      </c>
      <c r="J56" s="20" t="s">
        <v>73</v>
      </c>
      <c r="K56" s="21"/>
      <c r="L56" s="27" t="str">
        <f>"120,0"</f>
        <v>120,0</v>
      </c>
      <c r="M56" s="21" t="str">
        <f>"94,0465"</f>
        <v>94,0465</v>
      </c>
      <c r="N56" s="19" t="s">
        <v>47</v>
      </c>
    </row>
    <row r="57" ht="12.75">
      <c r="B57" s="5" t="s">
        <v>29</v>
      </c>
    </row>
    <row r="58" spans="1:13" ht="15">
      <c r="A58" s="49" t="s">
        <v>82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4" ht="12.75">
      <c r="A59" s="14" t="s">
        <v>12</v>
      </c>
      <c r="B59" s="11" t="s">
        <v>377</v>
      </c>
      <c r="C59" s="11" t="s">
        <v>378</v>
      </c>
      <c r="D59" s="11" t="s">
        <v>215</v>
      </c>
      <c r="E59" s="11" t="str">
        <f>"0,7271"</f>
        <v>0,7271</v>
      </c>
      <c r="F59" s="11" t="s">
        <v>13</v>
      </c>
      <c r="G59" s="11" t="s">
        <v>379</v>
      </c>
      <c r="H59" s="13" t="s">
        <v>59</v>
      </c>
      <c r="I59" s="13" t="s">
        <v>56</v>
      </c>
      <c r="J59" s="13" t="s">
        <v>70</v>
      </c>
      <c r="K59" s="14"/>
      <c r="L59" s="26" t="str">
        <f>"155,0"</f>
        <v>155,0</v>
      </c>
      <c r="M59" s="14" t="str">
        <f>"112,7005"</f>
        <v>112,7005</v>
      </c>
      <c r="N59" s="11" t="s">
        <v>47</v>
      </c>
    </row>
    <row r="60" spans="1:14" ht="12.75">
      <c r="A60" s="17" t="s">
        <v>48</v>
      </c>
      <c r="B60" s="15" t="s">
        <v>380</v>
      </c>
      <c r="C60" s="15" t="s">
        <v>381</v>
      </c>
      <c r="D60" s="15" t="s">
        <v>382</v>
      </c>
      <c r="E60" s="15" t="str">
        <f>"0,7390"</f>
        <v>0,7390</v>
      </c>
      <c r="F60" s="15" t="s">
        <v>13</v>
      </c>
      <c r="G60" s="15" t="s">
        <v>218</v>
      </c>
      <c r="H60" s="18" t="s">
        <v>59</v>
      </c>
      <c r="I60" s="16" t="s">
        <v>59</v>
      </c>
      <c r="J60" s="18" t="s">
        <v>46</v>
      </c>
      <c r="K60" s="17"/>
      <c r="L60" s="30" t="str">
        <f>"125,0"</f>
        <v>125,0</v>
      </c>
      <c r="M60" s="17" t="str">
        <f>"92,3750"</f>
        <v>92,3750</v>
      </c>
      <c r="N60" s="15" t="s">
        <v>383</v>
      </c>
    </row>
    <row r="61" spans="1:14" ht="12.75">
      <c r="A61" s="17" t="s">
        <v>50</v>
      </c>
      <c r="B61" s="15" t="s">
        <v>384</v>
      </c>
      <c r="C61" s="15" t="s">
        <v>385</v>
      </c>
      <c r="D61" s="15" t="s">
        <v>214</v>
      </c>
      <c r="E61" s="15" t="str">
        <f>"0,7469"</f>
        <v>0,7469</v>
      </c>
      <c r="F61" s="15" t="s">
        <v>13</v>
      </c>
      <c r="G61" s="15" t="s">
        <v>177</v>
      </c>
      <c r="H61" s="16" t="s">
        <v>41</v>
      </c>
      <c r="I61" s="16" t="s">
        <v>22</v>
      </c>
      <c r="J61" s="16" t="s">
        <v>23</v>
      </c>
      <c r="K61" s="17"/>
      <c r="L61" s="30" t="str">
        <f>"100,0"</f>
        <v>100,0</v>
      </c>
      <c r="M61" s="17" t="str">
        <f>"74,6900"</f>
        <v>74,6900</v>
      </c>
      <c r="N61" s="15" t="s">
        <v>292</v>
      </c>
    </row>
    <row r="62" spans="1:14" ht="12.75">
      <c r="A62" s="17" t="s">
        <v>102</v>
      </c>
      <c r="B62" s="15" t="s">
        <v>386</v>
      </c>
      <c r="C62" s="15" t="s">
        <v>387</v>
      </c>
      <c r="D62" s="15" t="s">
        <v>388</v>
      </c>
      <c r="E62" s="15" t="str">
        <f>"0,7285"</f>
        <v>0,7285</v>
      </c>
      <c r="F62" s="15" t="s">
        <v>13</v>
      </c>
      <c r="G62" s="15" t="s">
        <v>389</v>
      </c>
      <c r="H62" s="18" t="s">
        <v>55</v>
      </c>
      <c r="I62" s="18" t="s">
        <v>57</v>
      </c>
      <c r="J62" s="18" t="s">
        <v>57</v>
      </c>
      <c r="K62" s="17"/>
      <c r="L62" s="30">
        <v>0</v>
      </c>
      <c r="M62" s="17" t="str">
        <f>"0,0000"</f>
        <v>0,0000</v>
      </c>
      <c r="N62" s="15" t="s">
        <v>47</v>
      </c>
    </row>
    <row r="63" spans="1:14" ht="12.75">
      <c r="A63" s="17" t="s">
        <v>12</v>
      </c>
      <c r="B63" s="15" t="s">
        <v>390</v>
      </c>
      <c r="C63" s="15" t="s">
        <v>391</v>
      </c>
      <c r="D63" s="15" t="s">
        <v>392</v>
      </c>
      <c r="E63" s="15" t="str">
        <f>"0,7337"</f>
        <v>0,7337</v>
      </c>
      <c r="F63" s="15" t="s">
        <v>13</v>
      </c>
      <c r="G63" s="15" t="s">
        <v>52</v>
      </c>
      <c r="H63" s="16" t="s">
        <v>63</v>
      </c>
      <c r="I63" s="16" t="s">
        <v>114</v>
      </c>
      <c r="J63" s="16" t="s">
        <v>89</v>
      </c>
      <c r="K63" s="17"/>
      <c r="L63" s="30" t="str">
        <f>"182,5"</f>
        <v>182,5</v>
      </c>
      <c r="M63" s="17" t="str">
        <f>"133,9002"</f>
        <v>133,9002</v>
      </c>
      <c r="N63" s="15" t="s">
        <v>321</v>
      </c>
    </row>
    <row r="64" spans="1:14" ht="12.75">
      <c r="A64" s="17" t="s">
        <v>48</v>
      </c>
      <c r="B64" s="15" t="s">
        <v>393</v>
      </c>
      <c r="C64" s="15" t="s">
        <v>394</v>
      </c>
      <c r="D64" s="15" t="s">
        <v>395</v>
      </c>
      <c r="E64" s="15" t="str">
        <f>"0,7406"</f>
        <v>0,7406</v>
      </c>
      <c r="F64" s="15" t="s">
        <v>13</v>
      </c>
      <c r="G64" s="15" t="s">
        <v>396</v>
      </c>
      <c r="H64" s="16" t="s">
        <v>79</v>
      </c>
      <c r="I64" s="16" t="s">
        <v>83</v>
      </c>
      <c r="J64" s="18" t="s">
        <v>70</v>
      </c>
      <c r="K64" s="17"/>
      <c r="L64" s="30" t="str">
        <f>"150,0"</f>
        <v>150,0</v>
      </c>
      <c r="M64" s="17" t="str">
        <f>"111,0900"</f>
        <v>111,0900</v>
      </c>
      <c r="N64" s="15" t="s">
        <v>47</v>
      </c>
    </row>
    <row r="65" spans="1:14" ht="12.75">
      <c r="A65" s="17" t="s">
        <v>50</v>
      </c>
      <c r="B65" s="15" t="s">
        <v>397</v>
      </c>
      <c r="C65" s="15" t="s">
        <v>398</v>
      </c>
      <c r="D65" s="15" t="s">
        <v>399</v>
      </c>
      <c r="E65" s="15" t="str">
        <f>"0,7200"</f>
        <v>0,7200</v>
      </c>
      <c r="F65" s="15" t="s">
        <v>13</v>
      </c>
      <c r="G65" s="15" t="s">
        <v>223</v>
      </c>
      <c r="H65" s="16" t="s">
        <v>56</v>
      </c>
      <c r="I65" s="18" t="s">
        <v>75</v>
      </c>
      <c r="J65" s="18" t="s">
        <v>75</v>
      </c>
      <c r="K65" s="17"/>
      <c r="L65" s="30" t="str">
        <f>"135,0"</f>
        <v>135,0</v>
      </c>
      <c r="M65" s="17" t="str">
        <f>"97,2000"</f>
        <v>97,2000</v>
      </c>
      <c r="N65" s="15" t="s">
        <v>47</v>
      </c>
    </row>
    <row r="66" spans="1:14" ht="12.75">
      <c r="A66" s="17" t="s">
        <v>101</v>
      </c>
      <c r="B66" s="15" t="s">
        <v>400</v>
      </c>
      <c r="C66" s="15" t="s">
        <v>401</v>
      </c>
      <c r="D66" s="15" t="s">
        <v>402</v>
      </c>
      <c r="E66" s="15" t="str">
        <f>"0,7221"</f>
        <v>0,7221</v>
      </c>
      <c r="F66" s="15" t="s">
        <v>13</v>
      </c>
      <c r="G66" s="15" t="s">
        <v>403</v>
      </c>
      <c r="H66" s="16" t="s">
        <v>57</v>
      </c>
      <c r="I66" s="16" t="s">
        <v>45</v>
      </c>
      <c r="J66" s="16" t="s">
        <v>81</v>
      </c>
      <c r="K66" s="17"/>
      <c r="L66" s="30" t="str">
        <f>"127,5"</f>
        <v>127,5</v>
      </c>
      <c r="M66" s="17" t="str">
        <f>"92,0678"</f>
        <v>92,0678</v>
      </c>
      <c r="N66" s="15" t="s">
        <v>321</v>
      </c>
    </row>
    <row r="67" spans="1:14" ht="12.75">
      <c r="A67" s="17" t="s">
        <v>137</v>
      </c>
      <c r="B67" s="15" t="s">
        <v>404</v>
      </c>
      <c r="C67" s="15" t="s">
        <v>405</v>
      </c>
      <c r="D67" s="15" t="s">
        <v>217</v>
      </c>
      <c r="E67" s="15" t="str">
        <f>"0,7235"</f>
        <v>0,7235</v>
      </c>
      <c r="F67" s="15" t="s">
        <v>13</v>
      </c>
      <c r="G67" s="15" t="s">
        <v>52</v>
      </c>
      <c r="H67" s="16" t="s">
        <v>57</v>
      </c>
      <c r="I67" s="16" t="s">
        <v>59</v>
      </c>
      <c r="J67" s="18" t="s">
        <v>46</v>
      </c>
      <c r="K67" s="17"/>
      <c r="L67" s="30" t="str">
        <f>"125,0"</f>
        <v>125,0</v>
      </c>
      <c r="M67" s="17" t="str">
        <f>"90,4375"</f>
        <v>90,4375</v>
      </c>
      <c r="N67" s="15" t="s">
        <v>406</v>
      </c>
    </row>
    <row r="68" spans="1:14" ht="12.75">
      <c r="A68" s="17" t="s">
        <v>139</v>
      </c>
      <c r="B68" s="15" t="s">
        <v>407</v>
      </c>
      <c r="C68" s="15" t="s">
        <v>408</v>
      </c>
      <c r="D68" s="15" t="s">
        <v>215</v>
      </c>
      <c r="E68" s="15" t="str">
        <f>"0,7271"</f>
        <v>0,7271</v>
      </c>
      <c r="F68" s="15" t="s">
        <v>13</v>
      </c>
      <c r="G68" s="15" t="s">
        <v>52</v>
      </c>
      <c r="H68" s="16" t="s">
        <v>73</v>
      </c>
      <c r="I68" s="18" t="s">
        <v>46</v>
      </c>
      <c r="J68" s="18" t="s">
        <v>46</v>
      </c>
      <c r="K68" s="17"/>
      <c r="L68" s="30" t="str">
        <f>"120,0"</f>
        <v>120,0</v>
      </c>
      <c r="M68" s="17" t="str">
        <f>"87,2520"</f>
        <v>87,2520</v>
      </c>
      <c r="N68" s="15" t="s">
        <v>47</v>
      </c>
    </row>
    <row r="69" spans="1:14" ht="12.75">
      <c r="A69" s="17" t="s">
        <v>140</v>
      </c>
      <c r="B69" s="15" t="s">
        <v>409</v>
      </c>
      <c r="C69" s="15" t="s">
        <v>410</v>
      </c>
      <c r="D69" s="15" t="s">
        <v>215</v>
      </c>
      <c r="E69" s="15" t="str">
        <f>"0,7271"</f>
        <v>0,7271</v>
      </c>
      <c r="F69" s="15" t="s">
        <v>13</v>
      </c>
      <c r="G69" s="15" t="s">
        <v>411</v>
      </c>
      <c r="H69" s="18" t="s">
        <v>23</v>
      </c>
      <c r="I69" s="16" t="s">
        <v>57</v>
      </c>
      <c r="J69" s="18" t="s">
        <v>45</v>
      </c>
      <c r="K69" s="17"/>
      <c r="L69" s="30" t="str">
        <f>"117,5"</f>
        <v>117,5</v>
      </c>
      <c r="M69" s="17" t="str">
        <f>"85,4343"</f>
        <v>85,4343</v>
      </c>
      <c r="N69" s="15" t="s">
        <v>47</v>
      </c>
    </row>
    <row r="70" spans="1:14" ht="12.75">
      <c r="A70" s="17" t="s">
        <v>12</v>
      </c>
      <c r="B70" s="15" t="s">
        <v>412</v>
      </c>
      <c r="C70" s="15" t="s">
        <v>413</v>
      </c>
      <c r="D70" s="15" t="s">
        <v>414</v>
      </c>
      <c r="E70" s="15" t="str">
        <f>"0,7152"</f>
        <v>0,7152</v>
      </c>
      <c r="F70" s="15" t="s">
        <v>13</v>
      </c>
      <c r="G70" s="15" t="s">
        <v>52</v>
      </c>
      <c r="H70" s="16" t="s">
        <v>79</v>
      </c>
      <c r="I70" s="16" t="s">
        <v>83</v>
      </c>
      <c r="J70" s="18" t="s">
        <v>148</v>
      </c>
      <c r="K70" s="17"/>
      <c r="L70" s="30" t="str">
        <f>"150,0"</f>
        <v>150,0</v>
      </c>
      <c r="M70" s="17" t="str">
        <f>"108,7819"</f>
        <v>108,7819</v>
      </c>
      <c r="N70" s="15" t="s">
        <v>415</v>
      </c>
    </row>
    <row r="71" spans="1:14" ht="12.75">
      <c r="A71" s="17" t="s">
        <v>12</v>
      </c>
      <c r="B71" s="15" t="s">
        <v>416</v>
      </c>
      <c r="C71" s="15" t="s">
        <v>417</v>
      </c>
      <c r="D71" s="15" t="s">
        <v>418</v>
      </c>
      <c r="E71" s="15" t="str">
        <f>"0,7228"</f>
        <v>0,7228</v>
      </c>
      <c r="F71" s="15" t="s">
        <v>13</v>
      </c>
      <c r="G71" s="15" t="s">
        <v>52</v>
      </c>
      <c r="H71" s="16" t="s">
        <v>45</v>
      </c>
      <c r="I71" s="16" t="s">
        <v>81</v>
      </c>
      <c r="J71" s="18" t="s">
        <v>74</v>
      </c>
      <c r="K71" s="17"/>
      <c r="L71" s="30" t="str">
        <f>"127,5"</f>
        <v>127,5</v>
      </c>
      <c r="M71" s="17" t="str">
        <f>"105,9806"</f>
        <v>105,9806</v>
      </c>
      <c r="N71" s="15" t="s">
        <v>47</v>
      </c>
    </row>
    <row r="72" spans="1:14" ht="12.75">
      <c r="A72" s="17" t="s">
        <v>48</v>
      </c>
      <c r="B72" s="15" t="s">
        <v>419</v>
      </c>
      <c r="C72" s="15" t="s">
        <v>420</v>
      </c>
      <c r="D72" s="15" t="s">
        <v>421</v>
      </c>
      <c r="E72" s="15" t="str">
        <f>"0,7322"</f>
        <v>0,7322</v>
      </c>
      <c r="F72" s="15" t="s">
        <v>13</v>
      </c>
      <c r="G72" s="15" t="s">
        <v>52</v>
      </c>
      <c r="H72" s="16" t="s">
        <v>174</v>
      </c>
      <c r="I72" s="16" t="s">
        <v>57</v>
      </c>
      <c r="J72" s="18" t="s">
        <v>45</v>
      </c>
      <c r="K72" s="17"/>
      <c r="L72" s="30" t="str">
        <f>"117,5"</f>
        <v>117,5</v>
      </c>
      <c r="M72" s="17" t="str">
        <f>"98,9385"</f>
        <v>98,9385</v>
      </c>
      <c r="N72" s="15" t="s">
        <v>47</v>
      </c>
    </row>
    <row r="73" spans="1:14" ht="12.75">
      <c r="A73" s="17" t="s">
        <v>12</v>
      </c>
      <c r="B73" s="15" t="s">
        <v>422</v>
      </c>
      <c r="C73" s="15" t="s">
        <v>423</v>
      </c>
      <c r="D73" s="15" t="s">
        <v>424</v>
      </c>
      <c r="E73" s="15" t="str">
        <f>"0,7383"</f>
        <v>0,7383</v>
      </c>
      <c r="F73" s="15" t="s">
        <v>103</v>
      </c>
      <c r="G73" s="15" t="s">
        <v>213</v>
      </c>
      <c r="H73" s="16" t="s">
        <v>171</v>
      </c>
      <c r="I73" s="18" t="s">
        <v>55</v>
      </c>
      <c r="J73" s="18" t="s">
        <v>55</v>
      </c>
      <c r="K73" s="17"/>
      <c r="L73" s="30" t="str">
        <f>"107,5"</f>
        <v>107,5</v>
      </c>
      <c r="M73" s="17" t="str">
        <f>"129,3686"</f>
        <v>129,3686</v>
      </c>
      <c r="N73" s="15" t="s">
        <v>47</v>
      </c>
    </row>
    <row r="74" spans="1:14" ht="12.75">
      <c r="A74" s="21" t="s">
        <v>48</v>
      </c>
      <c r="B74" s="19" t="s">
        <v>425</v>
      </c>
      <c r="C74" s="19" t="s">
        <v>426</v>
      </c>
      <c r="D74" s="19" t="s">
        <v>95</v>
      </c>
      <c r="E74" s="19" t="str">
        <f>"0,7307"</f>
        <v>0,7307</v>
      </c>
      <c r="F74" s="19" t="s">
        <v>13</v>
      </c>
      <c r="G74" s="19" t="s">
        <v>52</v>
      </c>
      <c r="H74" s="20" t="s">
        <v>26</v>
      </c>
      <c r="I74" s="20" t="s">
        <v>21</v>
      </c>
      <c r="J74" s="22" t="s">
        <v>22</v>
      </c>
      <c r="K74" s="21"/>
      <c r="L74" s="27" t="str">
        <f>"87,5"</f>
        <v>87,5</v>
      </c>
      <c r="M74" s="21" t="str">
        <f>"102,1062"</f>
        <v>102,1062</v>
      </c>
      <c r="N74" s="19" t="s">
        <v>427</v>
      </c>
    </row>
    <row r="75" ht="12.75">
      <c r="B75" s="5" t="s">
        <v>29</v>
      </c>
    </row>
    <row r="76" spans="1:13" ht="15">
      <c r="A76" s="49" t="s">
        <v>105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4" ht="12.75">
      <c r="A77" s="14" t="s">
        <v>12</v>
      </c>
      <c r="B77" s="11" t="s">
        <v>428</v>
      </c>
      <c r="C77" s="11" t="s">
        <v>429</v>
      </c>
      <c r="D77" s="11" t="s">
        <v>430</v>
      </c>
      <c r="E77" s="11" t="str">
        <f>"0,7086"</f>
        <v>0,7086</v>
      </c>
      <c r="F77" s="11" t="s">
        <v>13</v>
      </c>
      <c r="G77" s="11" t="s">
        <v>431</v>
      </c>
      <c r="H77" s="13" t="s">
        <v>46</v>
      </c>
      <c r="I77" s="13" t="s">
        <v>56</v>
      </c>
      <c r="J77" s="12" t="s">
        <v>75</v>
      </c>
      <c r="K77" s="14"/>
      <c r="L77" s="26" t="str">
        <f>"135,0"</f>
        <v>135,0</v>
      </c>
      <c r="M77" s="14" t="str">
        <f>"95,6610"</f>
        <v>95,6610</v>
      </c>
      <c r="N77" s="11" t="s">
        <v>47</v>
      </c>
    </row>
    <row r="78" spans="1:14" ht="12.75">
      <c r="A78" s="17" t="s">
        <v>48</v>
      </c>
      <c r="B78" s="15" t="s">
        <v>432</v>
      </c>
      <c r="C78" s="15" t="s">
        <v>433</v>
      </c>
      <c r="D78" s="15" t="s">
        <v>219</v>
      </c>
      <c r="E78" s="15" t="str">
        <f>"0,7067"</f>
        <v>0,7067</v>
      </c>
      <c r="F78" s="15" t="s">
        <v>13</v>
      </c>
      <c r="G78" s="15" t="s">
        <v>177</v>
      </c>
      <c r="H78" s="16" t="s">
        <v>68</v>
      </c>
      <c r="I78" s="16" t="s">
        <v>73</v>
      </c>
      <c r="J78" s="16" t="s">
        <v>45</v>
      </c>
      <c r="K78" s="17"/>
      <c r="L78" s="30" t="str">
        <f>"122,5"</f>
        <v>122,5</v>
      </c>
      <c r="M78" s="17" t="str">
        <f>"86,5708"</f>
        <v>86,5708</v>
      </c>
      <c r="N78" s="15" t="s">
        <v>193</v>
      </c>
    </row>
    <row r="79" spans="1:14" ht="12.75">
      <c r="A79" s="17" t="s">
        <v>12</v>
      </c>
      <c r="B79" s="15" t="s">
        <v>434</v>
      </c>
      <c r="C79" s="15" t="s">
        <v>410</v>
      </c>
      <c r="D79" s="15" t="s">
        <v>106</v>
      </c>
      <c r="E79" s="15" t="str">
        <f>"0,6729"</f>
        <v>0,6729</v>
      </c>
      <c r="F79" s="15" t="s">
        <v>13</v>
      </c>
      <c r="G79" s="15" t="s">
        <v>218</v>
      </c>
      <c r="H79" s="16" t="s">
        <v>189</v>
      </c>
      <c r="I79" s="18" t="s">
        <v>112</v>
      </c>
      <c r="J79" s="16" t="s">
        <v>112</v>
      </c>
      <c r="K79" s="17"/>
      <c r="L79" s="30" t="str">
        <f>"167,5"</f>
        <v>167,5</v>
      </c>
      <c r="M79" s="17" t="str">
        <f>"112,7108"</f>
        <v>112,7108</v>
      </c>
      <c r="N79" s="15" t="s">
        <v>47</v>
      </c>
    </row>
    <row r="80" spans="1:14" ht="12.75">
      <c r="A80" s="17" t="s">
        <v>48</v>
      </c>
      <c r="B80" s="15" t="s">
        <v>435</v>
      </c>
      <c r="C80" s="15" t="s">
        <v>436</v>
      </c>
      <c r="D80" s="15" t="s">
        <v>274</v>
      </c>
      <c r="E80" s="15" t="str">
        <f>"0,6699"</f>
        <v>0,6699</v>
      </c>
      <c r="F80" s="15" t="s">
        <v>13</v>
      </c>
      <c r="G80" s="15" t="s">
        <v>437</v>
      </c>
      <c r="H80" s="16" t="s">
        <v>112</v>
      </c>
      <c r="I80" s="18" t="s">
        <v>113</v>
      </c>
      <c r="J80" s="18" t="s">
        <v>113</v>
      </c>
      <c r="K80" s="17"/>
      <c r="L80" s="30" t="str">
        <f>"167,5"</f>
        <v>167,5</v>
      </c>
      <c r="M80" s="17" t="str">
        <f>"112,2083"</f>
        <v>112,2083</v>
      </c>
      <c r="N80" s="15" t="s">
        <v>438</v>
      </c>
    </row>
    <row r="81" spans="1:14" ht="12.75">
      <c r="A81" s="17" t="s">
        <v>50</v>
      </c>
      <c r="B81" s="15" t="s">
        <v>439</v>
      </c>
      <c r="C81" s="15" t="s">
        <v>440</v>
      </c>
      <c r="D81" s="15" t="s">
        <v>441</v>
      </c>
      <c r="E81" s="15" t="str">
        <f>"0,6764"</f>
        <v>0,6764</v>
      </c>
      <c r="F81" s="15" t="s">
        <v>13</v>
      </c>
      <c r="G81" s="15" t="s">
        <v>301</v>
      </c>
      <c r="H81" s="16" t="s">
        <v>70</v>
      </c>
      <c r="I81" s="16" t="s">
        <v>62</v>
      </c>
      <c r="J81" s="18" t="s">
        <v>71</v>
      </c>
      <c r="K81" s="17"/>
      <c r="L81" s="30" t="str">
        <f>"160,0"</f>
        <v>160,0</v>
      </c>
      <c r="M81" s="17" t="str">
        <f>"108,2240"</f>
        <v>108,2240</v>
      </c>
      <c r="N81" s="15" t="s">
        <v>47</v>
      </c>
    </row>
    <row r="82" spans="1:14" ht="12.75">
      <c r="A82" s="17" t="s">
        <v>101</v>
      </c>
      <c r="B82" s="15" t="s">
        <v>442</v>
      </c>
      <c r="C82" s="15" t="s">
        <v>443</v>
      </c>
      <c r="D82" s="15" t="s">
        <v>444</v>
      </c>
      <c r="E82" s="15" t="str">
        <f>"0,6749"</f>
        <v>0,6749</v>
      </c>
      <c r="F82" s="15" t="s">
        <v>13</v>
      </c>
      <c r="G82" s="15" t="s">
        <v>52</v>
      </c>
      <c r="H82" s="16" t="s">
        <v>62</v>
      </c>
      <c r="I82" s="18" t="s">
        <v>112</v>
      </c>
      <c r="J82" s="18" t="s">
        <v>112</v>
      </c>
      <c r="K82" s="17"/>
      <c r="L82" s="30" t="str">
        <f>"160,0"</f>
        <v>160,0</v>
      </c>
      <c r="M82" s="17" t="str">
        <f>"107,9840"</f>
        <v>107,9840</v>
      </c>
      <c r="N82" s="15" t="s">
        <v>47</v>
      </c>
    </row>
    <row r="83" spans="1:14" ht="12.75">
      <c r="A83" s="17" t="s">
        <v>137</v>
      </c>
      <c r="B83" s="15" t="s">
        <v>445</v>
      </c>
      <c r="C83" s="15" t="s">
        <v>446</v>
      </c>
      <c r="D83" s="15" t="s">
        <v>111</v>
      </c>
      <c r="E83" s="15" t="str">
        <f>"0,6734"</f>
        <v>0,6734</v>
      </c>
      <c r="F83" s="15" t="s">
        <v>97</v>
      </c>
      <c r="G83" s="15" t="s">
        <v>268</v>
      </c>
      <c r="H83" s="16" t="s">
        <v>79</v>
      </c>
      <c r="I83" s="16" t="s">
        <v>62</v>
      </c>
      <c r="J83" s="18" t="s">
        <v>112</v>
      </c>
      <c r="K83" s="17"/>
      <c r="L83" s="30" t="str">
        <f>"160,0"</f>
        <v>160,0</v>
      </c>
      <c r="M83" s="17" t="str">
        <f>"107,7440"</f>
        <v>107,7440</v>
      </c>
      <c r="N83" s="15" t="s">
        <v>47</v>
      </c>
    </row>
    <row r="84" spans="1:14" ht="12.75">
      <c r="A84" s="17" t="s">
        <v>139</v>
      </c>
      <c r="B84" s="15" t="s">
        <v>253</v>
      </c>
      <c r="C84" s="15" t="s">
        <v>254</v>
      </c>
      <c r="D84" s="15" t="s">
        <v>255</v>
      </c>
      <c r="E84" s="15" t="str">
        <f>"0,6963"</f>
        <v>0,6963</v>
      </c>
      <c r="F84" s="15" t="s">
        <v>13</v>
      </c>
      <c r="G84" s="15" t="s">
        <v>52</v>
      </c>
      <c r="H84" s="16" t="s">
        <v>75</v>
      </c>
      <c r="I84" s="16" t="s">
        <v>79</v>
      </c>
      <c r="J84" s="16" t="s">
        <v>83</v>
      </c>
      <c r="K84" s="17"/>
      <c r="L84" s="30" t="str">
        <f>"150,0"</f>
        <v>150,0</v>
      </c>
      <c r="M84" s="17" t="str">
        <f>"104,4450"</f>
        <v>104,4450</v>
      </c>
      <c r="N84" s="15" t="s">
        <v>47</v>
      </c>
    </row>
    <row r="85" spans="1:14" ht="12.75">
      <c r="A85" s="17" t="s">
        <v>140</v>
      </c>
      <c r="B85" s="15" t="s">
        <v>447</v>
      </c>
      <c r="C85" s="15" t="s">
        <v>448</v>
      </c>
      <c r="D85" s="15" t="s">
        <v>449</v>
      </c>
      <c r="E85" s="15" t="str">
        <f>"0,6754"</f>
        <v>0,6754</v>
      </c>
      <c r="F85" s="15" t="s">
        <v>13</v>
      </c>
      <c r="G85" s="15" t="s">
        <v>52</v>
      </c>
      <c r="H85" s="16" t="s">
        <v>79</v>
      </c>
      <c r="I85" s="18" t="s">
        <v>83</v>
      </c>
      <c r="J85" s="16" t="s">
        <v>83</v>
      </c>
      <c r="K85" s="17"/>
      <c r="L85" s="30" t="str">
        <f>"150,0"</f>
        <v>150,0</v>
      </c>
      <c r="M85" s="17" t="str">
        <f>"101,3100"</f>
        <v>101,3100</v>
      </c>
      <c r="N85" s="15" t="s">
        <v>47</v>
      </c>
    </row>
    <row r="86" spans="1:14" ht="12.75">
      <c r="A86" s="17" t="s">
        <v>450</v>
      </c>
      <c r="B86" s="15" t="s">
        <v>451</v>
      </c>
      <c r="C86" s="15" t="s">
        <v>452</v>
      </c>
      <c r="D86" s="15" t="s">
        <v>444</v>
      </c>
      <c r="E86" s="15" t="str">
        <f>"0,6749"</f>
        <v>0,6749</v>
      </c>
      <c r="F86" s="15" t="s">
        <v>13</v>
      </c>
      <c r="G86" s="15" t="s">
        <v>177</v>
      </c>
      <c r="H86" s="16" t="s">
        <v>79</v>
      </c>
      <c r="I86" s="18" t="s">
        <v>83</v>
      </c>
      <c r="J86" s="16" t="s">
        <v>83</v>
      </c>
      <c r="K86" s="17"/>
      <c r="L86" s="30" t="str">
        <f>"150,0"</f>
        <v>150,0</v>
      </c>
      <c r="M86" s="17" t="str">
        <f>"101,2350"</f>
        <v>101,2350</v>
      </c>
      <c r="N86" s="15" t="s">
        <v>453</v>
      </c>
    </row>
    <row r="87" spans="1:14" ht="12.75">
      <c r="A87" s="17" t="s">
        <v>454</v>
      </c>
      <c r="B87" s="15" t="s">
        <v>455</v>
      </c>
      <c r="C87" s="15" t="s">
        <v>456</v>
      </c>
      <c r="D87" s="15" t="s">
        <v>109</v>
      </c>
      <c r="E87" s="15" t="str">
        <f>"0,6854"</f>
        <v>0,6854</v>
      </c>
      <c r="F87" s="15" t="s">
        <v>13</v>
      </c>
      <c r="G87" s="15" t="s">
        <v>457</v>
      </c>
      <c r="H87" s="16" t="s">
        <v>56</v>
      </c>
      <c r="I87" s="16" t="s">
        <v>75</v>
      </c>
      <c r="J87" s="16" t="s">
        <v>79</v>
      </c>
      <c r="K87" s="17"/>
      <c r="L87" s="30" t="str">
        <f>"145,0"</f>
        <v>145,0</v>
      </c>
      <c r="M87" s="17" t="str">
        <f>"99,3830"</f>
        <v>99,3830</v>
      </c>
      <c r="N87" s="15" t="s">
        <v>47</v>
      </c>
    </row>
    <row r="88" spans="1:14" ht="12.75">
      <c r="A88" s="17" t="s">
        <v>458</v>
      </c>
      <c r="B88" s="15" t="s">
        <v>459</v>
      </c>
      <c r="C88" s="15" t="s">
        <v>460</v>
      </c>
      <c r="D88" s="15" t="s">
        <v>180</v>
      </c>
      <c r="E88" s="15" t="str">
        <f>"0,6759"</f>
        <v>0,6759</v>
      </c>
      <c r="F88" s="15" t="s">
        <v>13</v>
      </c>
      <c r="G88" s="15" t="s">
        <v>461</v>
      </c>
      <c r="H88" s="16" t="s">
        <v>46</v>
      </c>
      <c r="I88" s="18" t="s">
        <v>79</v>
      </c>
      <c r="J88" s="16" t="s">
        <v>79</v>
      </c>
      <c r="K88" s="17"/>
      <c r="L88" s="30" t="str">
        <f>"145,0"</f>
        <v>145,0</v>
      </c>
      <c r="M88" s="17" t="str">
        <f>"98,0055"</f>
        <v>98,0055</v>
      </c>
      <c r="N88" s="15" t="s">
        <v>47</v>
      </c>
    </row>
    <row r="89" spans="1:14" ht="12.75">
      <c r="A89" s="17" t="s">
        <v>462</v>
      </c>
      <c r="B89" s="15" t="s">
        <v>463</v>
      </c>
      <c r="C89" s="15" t="s">
        <v>464</v>
      </c>
      <c r="D89" s="15" t="s">
        <v>465</v>
      </c>
      <c r="E89" s="15" t="str">
        <f>"0,6843"</f>
        <v>0,6843</v>
      </c>
      <c r="F89" s="15" t="s">
        <v>13</v>
      </c>
      <c r="G89" s="15" t="s">
        <v>52</v>
      </c>
      <c r="H89" s="16" t="s">
        <v>56</v>
      </c>
      <c r="I89" s="16" t="s">
        <v>75</v>
      </c>
      <c r="J89" s="18" t="s">
        <v>60</v>
      </c>
      <c r="K89" s="17"/>
      <c r="L89" s="30" t="str">
        <f>"140,0"</f>
        <v>140,0</v>
      </c>
      <c r="M89" s="17" t="str">
        <f>"95,8020"</f>
        <v>95,8020</v>
      </c>
      <c r="N89" s="15" t="s">
        <v>47</v>
      </c>
    </row>
    <row r="90" spans="1:14" ht="12.75">
      <c r="A90" s="17" t="s">
        <v>466</v>
      </c>
      <c r="B90" s="15" t="s">
        <v>467</v>
      </c>
      <c r="C90" s="15" t="s">
        <v>468</v>
      </c>
      <c r="D90" s="15" t="s">
        <v>469</v>
      </c>
      <c r="E90" s="15" t="str">
        <f>"0,6811"</f>
        <v>0,6811</v>
      </c>
      <c r="F90" s="15" t="s">
        <v>13</v>
      </c>
      <c r="G90" s="15" t="s">
        <v>223</v>
      </c>
      <c r="H90" s="16" t="s">
        <v>46</v>
      </c>
      <c r="I90" s="16" t="s">
        <v>75</v>
      </c>
      <c r="J90" s="17"/>
      <c r="K90" s="17"/>
      <c r="L90" s="30" t="str">
        <f>"140,0"</f>
        <v>140,0</v>
      </c>
      <c r="M90" s="17" t="str">
        <f>"95,3540"</f>
        <v>95,3540</v>
      </c>
      <c r="N90" s="15" t="s">
        <v>47</v>
      </c>
    </row>
    <row r="91" spans="1:14" ht="12.75">
      <c r="A91" s="17" t="s">
        <v>470</v>
      </c>
      <c r="B91" s="15" t="s">
        <v>428</v>
      </c>
      <c r="C91" s="15" t="s">
        <v>471</v>
      </c>
      <c r="D91" s="15" t="s">
        <v>430</v>
      </c>
      <c r="E91" s="15" t="str">
        <f>"0,7086"</f>
        <v>0,7086</v>
      </c>
      <c r="F91" s="15" t="s">
        <v>13</v>
      </c>
      <c r="G91" s="15" t="s">
        <v>431</v>
      </c>
      <c r="H91" s="16" t="s">
        <v>46</v>
      </c>
      <c r="I91" s="16" t="s">
        <v>56</v>
      </c>
      <c r="J91" s="18" t="s">
        <v>75</v>
      </c>
      <c r="K91" s="17"/>
      <c r="L91" s="30" t="str">
        <f>"135,0"</f>
        <v>135,0</v>
      </c>
      <c r="M91" s="17" t="str">
        <f>"95,6610"</f>
        <v>95,6610</v>
      </c>
      <c r="N91" s="15" t="s">
        <v>47</v>
      </c>
    </row>
    <row r="92" spans="1:14" ht="12.75">
      <c r="A92" s="17" t="s">
        <v>472</v>
      </c>
      <c r="B92" s="15" t="s">
        <v>473</v>
      </c>
      <c r="C92" s="15" t="s">
        <v>474</v>
      </c>
      <c r="D92" s="15" t="s">
        <v>475</v>
      </c>
      <c r="E92" s="15" t="str">
        <f>"0,6981"</f>
        <v>0,6981</v>
      </c>
      <c r="F92" s="15" t="s">
        <v>13</v>
      </c>
      <c r="G92" s="15" t="s">
        <v>52</v>
      </c>
      <c r="H92" s="16" t="s">
        <v>46</v>
      </c>
      <c r="I92" s="16" t="s">
        <v>74</v>
      </c>
      <c r="J92" s="18" t="s">
        <v>56</v>
      </c>
      <c r="K92" s="17"/>
      <c r="L92" s="30" t="str">
        <f>"132,5"</f>
        <v>132,5</v>
      </c>
      <c r="M92" s="17" t="str">
        <f>"92,4982"</f>
        <v>92,4982</v>
      </c>
      <c r="N92" s="15" t="s">
        <v>476</v>
      </c>
    </row>
    <row r="93" spans="1:14" ht="12.75">
      <c r="A93" s="17" t="s">
        <v>477</v>
      </c>
      <c r="B93" s="15" t="s">
        <v>478</v>
      </c>
      <c r="C93" s="15" t="s">
        <v>479</v>
      </c>
      <c r="D93" s="15" t="s">
        <v>480</v>
      </c>
      <c r="E93" s="15" t="str">
        <f>"0,6774"</f>
        <v>0,6774</v>
      </c>
      <c r="F93" s="15" t="s">
        <v>13</v>
      </c>
      <c r="G93" s="15" t="s">
        <v>52</v>
      </c>
      <c r="H93" s="16" t="s">
        <v>46</v>
      </c>
      <c r="I93" s="18" t="s">
        <v>56</v>
      </c>
      <c r="J93" s="18" t="s">
        <v>56</v>
      </c>
      <c r="K93" s="17"/>
      <c r="L93" s="30" t="str">
        <f>"130,0"</f>
        <v>130,0</v>
      </c>
      <c r="M93" s="17" t="str">
        <f>"88,0620"</f>
        <v>88,0620</v>
      </c>
      <c r="N93" s="15" t="s">
        <v>47</v>
      </c>
    </row>
    <row r="94" spans="1:14" ht="12.75">
      <c r="A94" s="17" t="s">
        <v>481</v>
      </c>
      <c r="B94" s="15" t="s">
        <v>482</v>
      </c>
      <c r="C94" s="15" t="s">
        <v>483</v>
      </c>
      <c r="D94" s="15" t="s">
        <v>277</v>
      </c>
      <c r="E94" s="15" t="str">
        <f>"0,6744"</f>
        <v>0,6744</v>
      </c>
      <c r="F94" s="15" t="s">
        <v>13</v>
      </c>
      <c r="G94" s="15" t="s">
        <v>52</v>
      </c>
      <c r="H94" s="16" t="s">
        <v>73</v>
      </c>
      <c r="I94" s="16" t="s">
        <v>81</v>
      </c>
      <c r="J94" s="18" t="s">
        <v>74</v>
      </c>
      <c r="K94" s="17"/>
      <c r="L94" s="30" t="str">
        <f>"127,5"</f>
        <v>127,5</v>
      </c>
      <c r="M94" s="17" t="str">
        <f>"85,9860"</f>
        <v>85,9860</v>
      </c>
      <c r="N94" s="15" t="s">
        <v>484</v>
      </c>
    </row>
    <row r="95" spans="1:14" ht="12.75">
      <c r="A95" s="17" t="s">
        <v>102</v>
      </c>
      <c r="B95" s="15" t="s">
        <v>485</v>
      </c>
      <c r="C95" s="15" t="s">
        <v>486</v>
      </c>
      <c r="D95" s="15" t="s">
        <v>449</v>
      </c>
      <c r="E95" s="15" t="str">
        <f>"0,6754"</f>
        <v>0,6754</v>
      </c>
      <c r="F95" s="15" t="s">
        <v>13</v>
      </c>
      <c r="G95" s="15" t="s">
        <v>487</v>
      </c>
      <c r="H95" s="18" t="s">
        <v>56</v>
      </c>
      <c r="I95" s="18" t="s">
        <v>56</v>
      </c>
      <c r="J95" s="18" t="s">
        <v>56</v>
      </c>
      <c r="K95" s="17"/>
      <c r="L95" s="30">
        <v>0</v>
      </c>
      <c r="M95" s="17" t="str">
        <f>"0,0000"</f>
        <v>0,0000</v>
      </c>
      <c r="N95" s="15" t="s">
        <v>488</v>
      </c>
    </row>
    <row r="96" spans="1:14" ht="12.75">
      <c r="A96" s="17" t="s">
        <v>102</v>
      </c>
      <c r="B96" s="15" t="s">
        <v>489</v>
      </c>
      <c r="C96" s="15" t="s">
        <v>490</v>
      </c>
      <c r="D96" s="15" t="s">
        <v>106</v>
      </c>
      <c r="E96" s="15" t="str">
        <f>"0,6729"</f>
        <v>0,6729</v>
      </c>
      <c r="F96" s="15" t="s">
        <v>13</v>
      </c>
      <c r="G96" s="15" t="s">
        <v>491</v>
      </c>
      <c r="H96" s="18" t="s">
        <v>83</v>
      </c>
      <c r="I96" s="18" t="s">
        <v>70</v>
      </c>
      <c r="J96" s="18" t="s">
        <v>70</v>
      </c>
      <c r="K96" s="17"/>
      <c r="L96" s="30">
        <v>0</v>
      </c>
      <c r="M96" s="17" t="str">
        <f>"0,0000"</f>
        <v>0,0000</v>
      </c>
      <c r="N96" s="15" t="s">
        <v>492</v>
      </c>
    </row>
    <row r="97" spans="1:14" ht="12.75">
      <c r="A97" s="21" t="s">
        <v>12</v>
      </c>
      <c r="B97" s="19" t="s">
        <v>493</v>
      </c>
      <c r="C97" s="19" t="s">
        <v>494</v>
      </c>
      <c r="D97" s="19" t="s">
        <v>495</v>
      </c>
      <c r="E97" s="19" t="str">
        <f>"0,6769"</f>
        <v>0,6769</v>
      </c>
      <c r="F97" s="19" t="s">
        <v>13</v>
      </c>
      <c r="G97" s="19" t="s">
        <v>177</v>
      </c>
      <c r="H97" s="20" t="s">
        <v>79</v>
      </c>
      <c r="I97" s="20" t="s">
        <v>83</v>
      </c>
      <c r="J97" s="22" t="s">
        <v>70</v>
      </c>
      <c r="K97" s="21"/>
      <c r="L97" s="27" t="str">
        <f>"150,0"</f>
        <v>150,0</v>
      </c>
      <c r="M97" s="21" t="str">
        <f>"102,0427"</f>
        <v>102,0427</v>
      </c>
      <c r="N97" s="19" t="s">
        <v>193</v>
      </c>
    </row>
    <row r="98" ht="12.75">
      <c r="B98" s="5" t="s">
        <v>29</v>
      </c>
    </row>
    <row r="99" spans="1:13" ht="15">
      <c r="A99" s="49" t="s">
        <v>120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4" ht="12.75">
      <c r="A100" s="14" t="s">
        <v>12</v>
      </c>
      <c r="B100" s="11" t="s">
        <v>121</v>
      </c>
      <c r="C100" s="11" t="s">
        <v>122</v>
      </c>
      <c r="D100" s="11" t="s">
        <v>123</v>
      </c>
      <c r="E100" s="34" t="str">
        <f>"0,6413"</f>
        <v>0,6413</v>
      </c>
      <c r="F100" s="11" t="s">
        <v>13</v>
      </c>
      <c r="G100" s="31" t="s">
        <v>88</v>
      </c>
      <c r="H100" s="38" t="s">
        <v>75</v>
      </c>
      <c r="I100" s="12" t="s">
        <v>79</v>
      </c>
      <c r="J100" s="13" t="s">
        <v>79</v>
      </c>
      <c r="K100" s="14"/>
      <c r="L100" s="26" t="str">
        <f>"145,0"</f>
        <v>145,0</v>
      </c>
      <c r="M100" s="14" t="str">
        <f>"92,9885"</f>
        <v>92,9885</v>
      </c>
      <c r="N100" s="11" t="s">
        <v>127</v>
      </c>
    </row>
    <row r="101" spans="1:14" ht="12.75">
      <c r="A101" s="17" t="s">
        <v>48</v>
      </c>
      <c r="B101" s="15" t="s">
        <v>496</v>
      </c>
      <c r="C101" s="15" t="s">
        <v>497</v>
      </c>
      <c r="D101" s="15" t="s">
        <v>498</v>
      </c>
      <c r="E101" s="35" t="str">
        <f>"0,6588"</f>
        <v>0,6588</v>
      </c>
      <c r="F101" s="15" t="s">
        <v>13</v>
      </c>
      <c r="G101" s="32" t="s">
        <v>177</v>
      </c>
      <c r="H101" s="39" t="s">
        <v>171</v>
      </c>
      <c r="I101" s="18" t="s">
        <v>174</v>
      </c>
      <c r="J101" s="18" t="s">
        <v>174</v>
      </c>
      <c r="K101" s="17"/>
      <c r="L101" s="30" t="str">
        <f>"107,5"</f>
        <v>107,5</v>
      </c>
      <c r="M101" s="17" t="str">
        <f>"70,8210"</f>
        <v>70,8210</v>
      </c>
      <c r="N101" s="15" t="s">
        <v>193</v>
      </c>
    </row>
    <row r="102" spans="1:14" ht="12.75">
      <c r="A102" s="17" t="s">
        <v>12</v>
      </c>
      <c r="B102" s="15" t="s">
        <v>256</v>
      </c>
      <c r="C102" s="15" t="s">
        <v>257</v>
      </c>
      <c r="D102" s="15" t="s">
        <v>131</v>
      </c>
      <c r="E102" s="35" t="str">
        <f>"0,6479"</f>
        <v>0,6479</v>
      </c>
      <c r="F102" s="15" t="s">
        <v>13</v>
      </c>
      <c r="G102" s="32" t="s">
        <v>258</v>
      </c>
      <c r="H102" s="39" t="s">
        <v>84</v>
      </c>
      <c r="I102" s="16" t="s">
        <v>77</v>
      </c>
      <c r="J102" s="18" t="s">
        <v>96</v>
      </c>
      <c r="K102" s="17"/>
      <c r="L102" s="30" t="str">
        <f>"180,0"</f>
        <v>180,0</v>
      </c>
      <c r="M102" s="17" t="str">
        <f>"116,6220"</f>
        <v>116,6220</v>
      </c>
      <c r="N102" s="15" t="s">
        <v>47</v>
      </c>
    </row>
    <row r="103" spans="1:14" ht="12.75">
      <c r="A103" s="17" t="s">
        <v>48</v>
      </c>
      <c r="B103" s="15" t="s">
        <v>499</v>
      </c>
      <c r="C103" s="15" t="s">
        <v>500</v>
      </c>
      <c r="D103" s="15" t="s">
        <v>501</v>
      </c>
      <c r="E103" s="35" t="str">
        <f>"0,6495"</f>
        <v>0,6495</v>
      </c>
      <c r="F103" s="15" t="s">
        <v>13</v>
      </c>
      <c r="G103" s="32" t="s">
        <v>270</v>
      </c>
      <c r="H103" s="39" t="s">
        <v>62</v>
      </c>
      <c r="I103" s="18" t="s">
        <v>71</v>
      </c>
      <c r="J103" s="16" t="s">
        <v>71</v>
      </c>
      <c r="K103" s="17"/>
      <c r="L103" s="30" t="str">
        <f>"165,0"</f>
        <v>165,0</v>
      </c>
      <c r="M103" s="17" t="str">
        <f>"107,1675"</f>
        <v>107,1675</v>
      </c>
      <c r="N103" s="15" t="s">
        <v>47</v>
      </c>
    </row>
    <row r="104" spans="1:14" ht="12.75">
      <c r="A104" s="17" t="s">
        <v>50</v>
      </c>
      <c r="B104" s="15" t="s">
        <v>502</v>
      </c>
      <c r="C104" s="15" t="s">
        <v>503</v>
      </c>
      <c r="D104" s="15" t="s">
        <v>504</v>
      </c>
      <c r="E104" s="35" t="str">
        <f>"0,6447"</f>
        <v>0,6447</v>
      </c>
      <c r="F104" s="15" t="s">
        <v>13</v>
      </c>
      <c r="G104" s="32" t="s">
        <v>52</v>
      </c>
      <c r="H104" s="39" t="s">
        <v>70</v>
      </c>
      <c r="I104" s="16" t="s">
        <v>71</v>
      </c>
      <c r="J104" s="18" t="s">
        <v>84</v>
      </c>
      <c r="K104" s="17"/>
      <c r="L104" s="30" t="str">
        <f>"165,0"</f>
        <v>165,0</v>
      </c>
      <c r="M104" s="17" t="str">
        <f>"106,3755"</f>
        <v>106,3755</v>
      </c>
      <c r="N104" s="15" t="s">
        <v>505</v>
      </c>
    </row>
    <row r="105" spans="1:14" ht="12.75">
      <c r="A105" s="17" t="s">
        <v>101</v>
      </c>
      <c r="B105" s="15" t="s">
        <v>506</v>
      </c>
      <c r="C105" s="15" t="s">
        <v>507</v>
      </c>
      <c r="D105" s="15" t="s">
        <v>508</v>
      </c>
      <c r="E105" s="35" t="str">
        <f>"0,6444"</f>
        <v>0,6444</v>
      </c>
      <c r="F105" s="15" t="s">
        <v>13</v>
      </c>
      <c r="G105" s="32" t="s">
        <v>260</v>
      </c>
      <c r="H105" s="39" t="s">
        <v>70</v>
      </c>
      <c r="I105" s="16" t="s">
        <v>62</v>
      </c>
      <c r="J105" s="18" t="s">
        <v>133</v>
      </c>
      <c r="K105" s="17"/>
      <c r="L105" s="30" t="str">
        <f>"160,0"</f>
        <v>160,0</v>
      </c>
      <c r="M105" s="17" t="str">
        <f>"103,1040"</f>
        <v>103,1040</v>
      </c>
      <c r="N105" s="15" t="s">
        <v>47</v>
      </c>
    </row>
    <row r="106" spans="1:14" ht="12.75">
      <c r="A106" s="17" t="s">
        <v>137</v>
      </c>
      <c r="B106" s="15" t="s">
        <v>509</v>
      </c>
      <c r="C106" s="15" t="s">
        <v>510</v>
      </c>
      <c r="D106" s="15" t="s">
        <v>228</v>
      </c>
      <c r="E106" s="35" t="str">
        <f>"0,6417"</f>
        <v>0,6417</v>
      </c>
      <c r="F106" s="15" t="s">
        <v>13</v>
      </c>
      <c r="G106" s="32" t="s">
        <v>52</v>
      </c>
      <c r="H106" s="39" t="s">
        <v>79</v>
      </c>
      <c r="I106" s="16" t="s">
        <v>148</v>
      </c>
      <c r="J106" s="16" t="s">
        <v>70</v>
      </c>
      <c r="K106" s="17"/>
      <c r="L106" s="30" t="str">
        <f>"155,0"</f>
        <v>155,0</v>
      </c>
      <c r="M106" s="17" t="str">
        <f>"99,4635"</f>
        <v>99,4635</v>
      </c>
      <c r="N106" s="15" t="s">
        <v>47</v>
      </c>
    </row>
    <row r="107" spans="1:14" ht="12.75">
      <c r="A107" s="17" t="s">
        <v>139</v>
      </c>
      <c r="B107" s="15" t="s">
        <v>511</v>
      </c>
      <c r="C107" s="15" t="s">
        <v>512</v>
      </c>
      <c r="D107" s="15" t="s">
        <v>183</v>
      </c>
      <c r="E107" s="35" t="str">
        <f>"0,6402"</f>
        <v>0,6402</v>
      </c>
      <c r="F107" s="15" t="s">
        <v>13</v>
      </c>
      <c r="G107" s="32" t="s">
        <v>287</v>
      </c>
      <c r="H107" s="39" t="s">
        <v>70</v>
      </c>
      <c r="I107" s="18" t="s">
        <v>112</v>
      </c>
      <c r="J107" s="18" t="s">
        <v>84</v>
      </c>
      <c r="K107" s="17"/>
      <c r="L107" s="30" t="str">
        <f>"155,0"</f>
        <v>155,0</v>
      </c>
      <c r="M107" s="17" t="str">
        <f>"99,2310"</f>
        <v>99,2310</v>
      </c>
      <c r="N107" s="15" t="s">
        <v>288</v>
      </c>
    </row>
    <row r="108" spans="1:14" ht="12.75">
      <c r="A108" s="17" t="s">
        <v>140</v>
      </c>
      <c r="B108" s="15" t="s">
        <v>513</v>
      </c>
      <c r="C108" s="15" t="s">
        <v>259</v>
      </c>
      <c r="D108" s="15" t="s">
        <v>514</v>
      </c>
      <c r="E108" s="35" t="str">
        <f>"0,6410"</f>
        <v>0,6410</v>
      </c>
      <c r="F108" s="15" t="s">
        <v>13</v>
      </c>
      <c r="G108" s="32" t="s">
        <v>52</v>
      </c>
      <c r="H108" s="39" t="s">
        <v>146</v>
      </c>
      <c r="I108" s="16" t="s">
        <v>148</v>
      </c>
      <c r="J108" s="18" t="s">
        <v>70</v>
      </c>
      <c r="K108" s="17"/>
      <c r="L108" s="30" t="str">
        <f>"152,5"</f>
        <v>152,5</v>
      </c>
      <c r="M108" s="17" t="str">
        <f>"97,7525"</f>
        <v>97,7525</v>
      </c>
      <c r="N108" s="15" t="s">
        <v>515</v>
      </c>
    </row>
    <row r="109" spans="1:14" ht="12.75">
      <c r="A109" s="17" t="s">
        <v>450</v>
      </c>
      <c r="B109" s="15" t="s">
        <v>516</v>
      </c>
      <c r="C109" s="15" t="s">
        <v>517</v>
      </c>
      <c r="D109" s="15" t="s">
        <v>134</v>
      </c>
      <c r="E109" s="35" t="str">
        <f>"0,6395"</f>
        <v>0,6395</v>
      </c>
      <c r="F109" s="15" t="s">
        <v>13</v>
      </c>
      <c r="G109" s="32" t="s">
        <v>52</v>
      </c>
      <c r="H109" s="39" t="s">
        <v>79</v>
      </c>
      <c r="I109" s="16" t="s">
        <v>148</v>
      </c>
      <c r="J109" s="18" t="s">
        <v>189</v>
      </c>
      <c r="K109" s="17"/>
      <c r="L109" s="30" t="str">
        <f>"152,5"</f>
        <v>152,5</v>
      </c>
      <c r="M109" s="17" t="str">
        <f>"97,5238"</f>
        <v>97,5238</v>
      </c>
      <c r="N109" s="15" t="s">
        <v>518</v>
      </c>
    </row>
    <row r="110" spans="1:14" ht="12.75">
      <c r="A110" s="17" t="s">
        <v>454</v>
      </c>
      <c r="B110" s="15" t="s">
        <v>519</v>
      </c>
      <c r="C110" s="15" t="s">
        <v>520</v>
      </c>
      <c r="D110" s="15" t="s">
        <v>521</v>
      </c>
      <c r="E110" s="35" t="str">
        <f>"0,6406"</f>
        <v>0,6406</v>
      </c>
      <c r="F110" s="15" t="s">
        <v>13</v>
      </c>
      <c r="G110" s="32" t="s">
        <v>52</v>
      </c>
      <c r="H110" s="39" t="s">
        <v>75</v>
      </c>
      <c r="I110" s="16" t="s">
        <v>79</v>
      </c>
      <c r="J110" s="18" t="s">
        <v>146</v>
      </c>
      <c r="K110" s="17"/>
      <c r="L110" s="30" t="str">
        <f>"145,0"</f>
        <v>145,0</v>
      </c>
      <c r="M110" s="17" t="str">
        <f>"92,8870"</f>
        <v>92,8870</v>
      </c>
      <c r="N110" s="15" t="s">
        <v>47</v>
      </c>
    </row>
    <row r="111" spans="1:14" ht="12.75">
      <c r="A111" s="17" t="s">
        <v>458</v>
      </c>
      <c r="B111" s="15" t="s">
        <v>522</v>
      </c>
      <c r="C111" s="15" t="s">
        <v>523</v>
      </c>
      <c r="D111" s="15" t="s">
        <v>524</v>
      </c>
      <c r="E111" s="35" t="str">
        <f>"0,6487"</f>
        <v>0,6487</v>
      </c>
      <c r="F111" s="15" t="s">
        <v>13</v>
      </c>
      <c r="G111" s="32" t="s">
        <v>52</v>
      </c>
      <c r="H111" s="39" t="s">
        <v>74</v>
      </c>
      <c r="I111" s="16" t="s">
        <v>75</v>
      </c>
      <c r="J111" s="18" t="s">
        <v>148</v>
      </c>
      <c r="K111" s="17"/>
      <c r="L111" s="30" t="str">
        <f>"140,0"</f>
        <v>140,0</v>
      </c>
      <c r="M111" s="17" t="str">
        <f>"90,8180"</f>
        <v>90,8180</v>
      </c>
      <c r="N111" s="15" t="s">
        <v>47</v>
      </c>
    </row>
    <row r="112" spans="1:14" ht="12.75">
      <c r="A112" s="17" t="s">
        <v>462</v>
      </c>
      <c r="B112" s="15" t="s">
        <v>525</v>
      </c>
      <c r="C112" s="15" t="s">
        <v>526</v>
      </c>
      <c r="D112" s="15" t="s">
        <v>527</v>
      </c>
      <c r="E112" s="35" t="str">
        <f>"0,6515"</f>
        <v>0,6515</v>
      </c>
      <c r="F112" s="15" t="s">
        <v>13</v>
      </c>
      <c r="G112" s="32" t="s">
        <v>528</v>
      </c>
      <c r="H112" s="39" t="s">
        <v>59</v>
      </c>
      <c r="I112" s="16" t="s">
        <v>74</v>
      </c>
      <c r="J112" s="18" t="s">
        <v>56</v>
      </c>
      <c r="K112" s="17"/>
      <c r="L112" s="30" t="str">
        <f>"132,5"</f>
        <v>132,5</v>
      </c>
      <c r="M112" s="17" t="str">
        <f>"86,3237"</f>
        <v>86,3237</v>
      </c>
      <c r="N112" s="15" t="s">
        <v>47</v>
      </c>
    </row>
    <row r="113" spans="1:14" ht="12.75">
      <c r="A113" s="17" t="s">
        <v>466</v>
      </c>
      <c r="B113" s="15" t="s">
        <v>529</v>
      </c>
      <c r="C113" s="15" t="s">
        <v>530</v>
      </c>
      <c r="D113" s="15" t="s">
        <v>531</v>
      </c>
      <c r="E113" s="35" t="str">
        <f>"0,6459"</f>
        <v>0,6459</v>
      </c>
      <c r="F113" s="15" t="s">
        <v>13</v>
      </c>
      <c r="G113" s="32" t="s">
        <v>52</v>
      </c>
      <c r="H113" s="39" t="s">
        <v>59</v>
      </c>
      <c r="I113" s="16" t="s">
        <v>74</v>
      </c>
      <c r="J113" s="18" t="s">
        <v>117</v>
      </c>
      <c r="K113" s="17"/>
      <c r="L113" s="30" t="str">
        <f>"132,5"</f>
        <v>132,5</v>
      </c>
      <c r="M113" s="17" t="str">
        <f>"85,5818"</f>
        <v>85,5818</v>
      </c>
      <c r="N113" s="15" t="s">
        <v>47</v>
      </c>
    </row>
    <row r="114" spans="1:14" ht="12.75">
      <c r="A114" s="17" t="s">
        <v>470</v>
      </c>
      <c r="B114" s="15" t="s">
        <v>532</v>
      </c>
      <c r="C114" s="15" t="s">
        <v>533</v>
      </c>
      <c r="D114" s="15" t="s">
        <v>514</v>
      </c>
      <c r="E114" s="35" t="str">
        <f>"0,6410"</f>
        <v>0,6410</v>
      </c>
      <c r="F114" s="15" t="s">
        <v>13</v>
      </c>
      <c r="G114" s="32" t="s">
        <v>534</v>
      </c>
      <c r="H114" s="39" t="s">
        <v>81</v>
      </c>
      <c r="I114" s="18" t="s">
        <v>74</v>
      </c>
      <c r="J114" s="18" t="s">
        <v>74</v>
      </c>
      <c r="K114" s="17"/>
      <c r="L114" s="30" t="str">
        <f>"127,5"</f>
        <v>127,5</v>
      </c>
      <c r="M114" s="17" t="str">
        <f>"81,7275"</f>
        <v>81,7275</v>
      </c>
      <c r="N114" s="15" t="s">
        <v>47</v>
      </c>
    </row>
    <row r="115" spans="1:14" ht="12.75">
      <c r="A115" s="17" t="s">
        <v>472</v>
      </c>
      <c r="B115" s="15" t="s">
        <v>535</v>
      </c>
      <c r="C115" s="15" t="s">
        <v>236</v>
      </c>
      <c r="D115" s="15" t="s">
        <v>536</v>
      </c>
      <c r="E115" s="35" t="str">
        <f>"0,6440"</f>
        <v>0,6440</v>
      </c>
      <c r="F115" s="15" t="s">
        <v>13</v>
      </c>
      <c r="G115" s="32" t="s">
        <v>52</v>
      </c>
      <c r="H115" s="39" t="s">
        <v>68</v>
      </c>
      <c r="I115" s="18" t="s">
        <v>73</v>
      </c>
      <c r="J115" s="16" t="s">
        <v>73</v>
      </c>
      <c r="K115" s="17"/>
      <c r="L115" s="30" t="str">
        <f>"120,0"</f>
        <v>120,0</v>
      </c>
      <c r="M115" s="17" t="str">
        <f>"77,2800"</f>
        <v>77,2800</v>
      </c>
      <c r="N115" s="15" t="s">
        <v>537</v>
      </c>
    </row>
    <row r="116" spans="1:14" ht="12.75">
      <c r="A116" s="17" t="s">
        <v>102</v>
      </c>
      <c r="B116" s="15" t="s">
        <v>538</v>
      </c>
      <c r="C116" s="15" t="s">
        <v>539</v>
      </c>
      <c r="D116" s="15" t="s">
        <v>540</v>
      </c>
      <c r="E116" s="35" t="str">
        <f>"0,6503"</f>
        <v>0,6503</v>
      </c>
      <c r="F116" s="15" t="s">
        <v>13</v>
      </c>
      <c r="G116" s="32" t="s">
        <v>487</v>
      </c>
      <c r="H116" s="37" t="s">
        <v>79</v>
      </c>
      <c r="I116" s="18" t="s">
        <v>79</v>
      </c>
      <c r="J116" s="18" t="s">
        <v>79</v>
      </c>
      <c r="K116" s="17"/>
      <c r="L116" s="30">
        <v>0</v>
      </c>
      <c r="M116" s="17" t="str">
        <f>"0,0000"</f>
        <v>0,0000</v>
      </c>
      <c r="N116" s="15" t="s">
        <v>488</v>
      </c>
    </row>
    <row r="117" spans="1:14" ht="12.75">
      <c r="A117" s="17" t="s">
        <v>102</v>
      </c>
      <c r="B117" s="15" t="s">
        <v>541</v>
      </c>
      <c r="C117" s="15" t="s">
        <v>542</v>
      </c>
      <c r="D117" s="15" t="s">
        <v>543</v>
      </c>
      <c r="E117" s="35" t="str">
        <f>"0,6499"</f>
        <v>0,6499</v>
      </c>
      <c r="F117" s="15" t="s">
        <v>13</v>
      </c>
      <c r="G117" s="32" t="s">
        <v>52</v>
      </c>
      <c r="H117" s="37" t="s">
        <v>79</v>
      </c>
      <c r="I117" s="18" t="s">
        <v>79</v>
      </c>
      <c r="J117" s="18" t="s">
        <v>79</v>
      </c>
      <c r="K117" s="17"/>
      <c r="L117" s="30">
        <v>0</v>
      </c>
      <c r="M117" s="17" t="str">
        <f>"0,0000"</f>
        <v>0,0000</v>
      </c>
      <c r="N117" s="15" t="s">
        <v>544</v>
      </c>
    </row>
    <row r="118" spans="1:14" ht="12.75">
      <c r="A118" s="17" t="s">
        <v>102</v>
      </c>
      <c r="B118" s="15" t="s">
        <v>545</v>
      </c>
      <c r="C118" s="15" t="s">
        <v>546</v>
      </c>
      <c r="D118" s="15" t="s">
        <v>531</v>
      </c>
      <c r="E118" s="35" t="str">
        <f>"0,6459"</f>
        <v>0,6459</v>
      </c>
      <c r="F118" s="15" t="s">
        <v>13</v>
      </c>
      <c r="G118" s="32" t="s">
        <v>547</v>
      </c>
      <c r="H118" s="37" t="s">
        <v>78</v>
      </c>
      <c r="I118" s="18" t="s">
        <v>78</v>
      </c>
      <c r="J118" s="18" t="s">
        <v>78</v>
      </c>
      <c r="K118" s="17"/>
      <c r="L118" s="30">
        <v>0</v>
      </c>
      <c r="M118" s="17" t="str">
        <f>"0,0000"</f>
        <v>0,0000</v>
      </c>
      <c r="N118" s="15" t="s">
        <v>548</v>
      </c>
    </row>
    <row r="119" spans="1:14" ht="12.75">
      <c r="A119" s="17" t="s">
        <v>12</v>
      </c>
      <c r="B119" s="15" t="s">
        <v>549</v>
      </c>
      <c r="C119" s="15" t="s">
        <v>550</v>
      </c>
      <c r="D119" s="15" t="s">
        <v>543</v>
      </c>
      <c r="E119" s="35" t="str">
        <f>"0,6499"</f>
        <v>0,6499</v>
      </c>
      <c r="F119" s="15" t="s">
        <v>103</v>
      </c>
      <c r="G119" s="32" t="s">
        <v>213</v>
      </c>
      <c r="H119" s="39" t="s">
        <v>59</v>
      </c>
      <c r="I119" s="16" t="s">
        <v>74</v>
      </c>
      <c r="J119" s="18" t="s">
        <v>117</v>
      </c>
      <c r="K119" s="17"/>
      <c r="L119" s="30" t="str">
        <f>"132,5"</f>
        <v>132,5</v>
      </c>
      <c r="M119" s="17" t="str">
        <f>"113,8397"</f>
        <v>113,8397</v>
      </c>
      <c r="N119" s="15" t="s">
        <v>47</v>
      </c>
    </row>
    <row r="120" spans="1:14" ht="12.75">
      <c r="A120" s="21" t="s">
        <v>12</v>
      </c>
      <c r="B120" s="19" t="s">
        <v>551</v>
      </c>
      <c r="C120" s="19" t="s">
        <v>552</v>
      </c>
      <c r="D120" s="19" t="s">
        <v>553</v>
      </c>
      <c r="E120" s="36" t="str">
        <f>"0,6545"</f>
        <v>0,6545</v>
      </c>
      <c r="F120" s="19" t="s">
        <v>13</v>
      </c>
      <c r="G120" s="33" t="s">
        <v>554</v>
      </c>
      <c r="H120" s="42" t="s">
        <v>75</v>
      </c>
      <c r="I120" s="22" t="s">
        <v>79</v>
      </c>
      <c r="J120" s="21"/>
      <c r="K120" s="21"/>
      <c r="L120" s="27" t="str">
        <f>"140,0"</f>
        <v>140,0</v>
      </c>
      <c r="M120" s="21" t="str">
        <f>"131,9472"</f>
        <v>131,9472</v>
      </c>
      <c r="N120" s="19" t="s">
        <v>47</v>
      </c>
    </row>
    <row r="121" ht="12.75">
      <c r="B121" s="5" t="s">
        <v>29</v>
      </c>
    </row>
    <row r="122" spans="1:13" ht="15">
      <c r="A122" s="49" t="s">
        <v>141</v>
      </c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</row>
    <row r="123" spans="1:14" ht="12.75">
      <c r="A123" s="14" t="s">
        <v>12</v>
      </c>
      <c r="B123" s="11" t="s">
        <v>555</v>
      </c>
      <c r="C123" s="11" t="s">
        <v>556</v>
      </c>
      <c r="D123" s="11" t="s">
        <v>557</v>
      </c>
      <c r="E123" s="11" t="str">
        <f>"0,6203"</f>
        <v>0,6203</v>
      </c>
      <c r="F123" s="11" t="s">
        <v>13</v>
      </c>
      <c r="G123" s="11" t="s">
        <v>487</v>
      </c>
      <c r="H123" s="13" t="s">
        <v>70</v>
      </c>
      <c r="I123" s="13" t="s">
        <v>133</v>
      </c>
      <c r="J123" s="14"/>
      <c r="K123" s="14"/>
      <c r="L123" s="26" t="str">
        <f>"162,5"</f>
        <v>162,5</v>
      </c>
      <c r="M123" s="14" t="str">
        <f>"100,7987"</f>
        <v>100,7987</v>
      </c>
      <c r="N123" s="11" t="s">
        <v>558</v>
      </c>
    </row>
    <row r="124" spans="1:14" ht="12.75">
      <c r="A124" s="17" t="s">
        <v>48</v>
      </c>
      <c r="B124" s="15" t="s">
        <v>559</v>
      </c>
      <c r="C124" s="15" t="s">
        <v>560</v>
      </c>
      <c r="D124" s="15" t="s">
        <v>561</v>
      </c>
      <c r="E124" s="15" t="str">
        <f>"0,6106"</f>
        <v>0,6106</v>
      </c>
      <c r="F124" s="15" t="s">
        <v>13</v>
      </c>
      <c r="G124" s="15" t="s">
        <v>177</v>
      </c>
      <c r="H124" s="16" t="s">
        <v>73</v>
      </c>
      <c r="I124" s="16" t="s">
        <v>59</v>
      </c>
      <c r="J124" s="18" t="s">
        <v>46</v>
      </c>
      <c r="K124" s="17"/>
      <c r="L124" s="30" t="str">
        <f>"125,0"</f>
        <v>125,0</v>
      </c>
      <c r="M124" s="17" t="str">
        <f>"76,3250"</f>
        <v>76,3250</v>
      </c>
      <c r="N124" s="15" t="s">
        <v>193</v>
      </c>
    </row>
    <row r="125" spans="1:14" ht="12.75">
      <c r="A125" s="17" t="s">
        <v>12</v>
      </c>
      <c r="B125" s="15" t="s">
        <v>562</v>
      </c>
      <c r="C125" s="15" t="s">
        <v>563</v>
      </c>
      <c r="D125" s="15" t="s">
        <v>564</v>
      </c>
      <c r="E125" s="15" t="str">
        <f>"0,6113"</f>
        <v>0,6113</v>
      </c>
      <c r="F125" s="15" t="s">
        <v>13</v>
      </c>
      <c r="G125" s="15" t="s">
        <v>52</v>
      </c>
      <c r="H125" s="16" t="s">
        <v>79</v>
      </c>
      <c r="I125" s="16" t="s">
        <v>83</v>
      </c>
      <c r="J125" s="18" t="s">
        <v>148</v>
      </c>
      <c r="K125" s="17"/>
      <c r="L125" s="30" t="str">
        <f>"150,0"</f>
        <v>150,0</v>
      </c>
      <c r="M125" s="17" t="str">
        <f>"91,6950"</f>
        <v>91,6950</v>
      </c>
      <c r="N125" s="15" t="s">
        <v>273</v>
      </c>
    </row>
    <row r="126" spans="1:14" ht="12.75">
      <c r="A126" s="17" t="s">
        <v>12</v>
      </c>
      <c r="B126" s="15" t="s">
        <v>261</v>
      </c>
      <c r="C126" s="15" t="s">
        <v>262</v>
      </c>
      <c r="D126" s="15" t="s">
        <v>263</v>
      </c>
      <c r="E126" s="15" t="str">
        <f>"0,6166"</f>
        <v>0,6166</v>
      </c>
      <c r="F126" s="15" t="s">
        <v>13</v>
      </c>
      <c r="G126" s="15" t="s">
        <v>138</v>
      </c>
      <c r="H126" s="16" t="s">
        <v>77</v>
      </c>
      <c r="I126" s="16" t="s">
        <v>78</v>
      </c>
      <c r="J126" s="16" t="s">
        <v>216</v>
      </c>
      <c r="K126" s="17"/>
      <c r="L126" s="30" t="str">
        <f>"192,5"</f>
        <v>192,5</v>
      </c>
      <c r="M126" s="17" t="str">
        <f>"118,6955"</f>
        <v>118,6955</v>
      </c>
      <c r="N126" s="15" t="s">
        <v>264</v>
      </c>
    </row>
    <row r="127" spans="1:14" ht="12.75">
      <c r="A127" s="17" t="s">
        <v>48</v>
      </c>
      <c r="B127" s="15" t="s">
        <v>565</v>
      </c>
      <c r="C127" s="15" t="s">
        <v>566</v>
      </c>
      <c r="D127" s="15" t="s">
        <v>142</v>
      </c>
      <c r="E127" s="15" t="str">
        <f>"0,6111"</f>
        <v>0,6111</v>
      </c>
      <c r="F127" s="15" t="s">
        <v>13</v>
      </c>
      <c r="G127" s="15" t="s">
        <v>218</v>
      </c>
      <c r="H127" s="16" t="s">
        <v>78</v>
      </c>
      <c r="I127" s="18" t="s">
        <v>93</v>
      </c>
      <c r="J127" s="18" t="s">
        <v>93</v>
      </c>
      <c r="K127" s="17"/>
      <c r="L127" s="30" t="str">
        <f>"190,0"</f>
        <v>190,0</v>
      </c>
      <c r="M127" s="17" t="str">
        <f>"116,1090"</f>
        <v>116,1090</v>
      </c>
      <c r="N127" s="15" t="s">
        <v>47</v>
      </c>
    </row>
    <row r="128" spans="1:14" ht="12.75">
      <c r="A128" s="17" t="s">
        <v>50</v>
      </c>
      <c r="B128" s="15" t="s">
        <v>567</v>
      </c>
      <c r="C128" s="15" t="s">
        <v>568</v>
      </c>
      <c r="D128" s="15" t="s">
        <v>569</v>
      </c>
      <c r="E128" s="15" t="str">
        <f>"0,6254"</f>
        <v>0,6254</v>
      </c>
      <c r="F128" s="15" t="s">
        <v>13</v>
      </c>
      <c r="G128" s="15" t="s">
        <v>52</v>
      </c>
      <c r="H128" s="16" t="s">
        <v>83</v>
      </c>
      <c r="I128" s="16" t="s">
        <v>133</v>
      </c>
      <c r="J128" s="16" t="s">
        <v>63</v>
      </c>
      <c r="K128" s="17"/>
      <c r="L128" s="30" t="str">
        <f>"170,0"</f>
        <v>170,0</v>
      </c>
      <c r="M128" s="17" t="str">
        <f>"106,3180"</f>
        <v>106,3180</v>
      </c>
      <c r="N128" s="15" t="s">
        <v>47</v>
      </c>
    </row>
    <row r="129" spans="1:14" ht="12.75">
      <c r="A129" s="17" t="s">
        <v>101</v>
      </c>
      <c r="B129" s="15" t="s">
        <v>570</v>
      </c>
      <c r="C129" s="15" t="s">
        <v>571</v>
      </c>
      <c r="D129" s="15" t="s">
        <v>572</v>
      </c>
      <c r="E129" s="15" t="str">
        <f>"0,6131"</f>
        <v>0,6131</v>
      </c>
      <c r="F129" s="15" t="s">
        <v>13</v>
      </c>
      <c r="G129" s="15" t="s">
        <v>260</v>
      </c>
      <c r="H129" s="16" t="s">
        <v>70</v>
      </c>
      <c r="I129" s="16" t="s">
        <v>133</v>
      </c>
      <c r="J129" s="16" t="s">
        <v>112</v>
      </c>
      <c r="K129" s="17"/>
      <c r="L129" s="30" t="str">
        <f>"167,5"</f>
        <v>167,5</v>
      </c>
      <c r="M129" s="17" t="str">
        <f>"102,6942"</f>
        <v>102,6942</v>
      </c>
      <c r="N129" s="15" t="s">
        <v>573</v>
      </c>
    </row>
    <row r="130" spans="1:14" ht="12.75">
      <c r="A130" s="17" t="s">
        <v>137</v>
      </c>
      <c r="B130" s="15" t="s">
        <v>574</v>
      </c>
      <c r="C130" s="15" t="s">
        <v>575</v>
      </c>
      <c r="D130" s="15" t="s">
        <v>576</v>
      </c>
      <c r="E130" s="15" t="str">
        <f>"0,6191"</f>
        <v>0,6191</v>
      </c>
      <c r="F130" s="15" t="s">
        <v>13</v>
      </c>
      <c r="G130" s="15" t="s">
        <v>577</v>
      </c>
      <c r="H130" s="16" t="s">
        <v>56</v>
      </c>
      <c r="I130" s="16" t="s">
        <v>75</v>
      </c>
      <c r="J130" s="16" t="s">
        <v>79</v>
      </c>
      <c r="K130" s="17"/>
      <c r="L130" s="30" t="str">
        <f>"145,0"</f>
        <v>145,0</v>
      </c>
      <c r="M130" s="17" t="str">
        <f>"89,7695"</f>
        <v>89,7695</v>
      </c>
      <c r="N130" s="15" t="s">
        <v>47</v>
      </c>
    </row>
    <row r="131" spans="1:14" ht="12.75">
      <c r="A131" s="17" t="s">
        <v>139</v>
      </c>
      <c r="B131" s="15" t="s">
        <v>578</v>
      </c>
      <c r="C131" s="15" t="s">
        <v>280</v>
      </c>
      <c r="D131" s="15" t="s">
        <v>579</v>
      </c>
      <c r="E131" s="15" t="str">
        <f>"0,6126"</f>
        <v>0,6126</v>
      </c>
      <c r="F131" s="15" t="s">
        <v>13</v>
      </c>
      <c r="G131" s="15" t="s">
        <v>301</v>
      </c>
      <c r="H131" s="16" t="s">
        <v>46</v>
      </c>
      <c r="I131" s="16" t="s">
        <v>56</v>
      </c>
      <c r="J131" s="16" t="s">
        <v>75</v>
      </c>
      <c r="K131" s="17"/>
      <c r="L131" s="30" t="str">
        <f>"140,0"</f>
        <v>140,0</v>
      </c>
      <c r="M131" s="17" t="str">
        <f>"85,7640"</f>
        <v>85,7640</v>
      </c>
      <c r="N131" s="15" t="s">
        <v>580</v>
      </c>
    </row>
    <row r="132" spans="1:14" ht="12.75">
      <c r="A132" s="17" t="s">
        <v>102</v>
      </c>
      <c r="B132" s="15" t="s">
        <v>261</v>
      </c>
      <c r="C132" s="15" t="s">
        <v>262</v>
      </c>
      <c r="D132" s="15" t="s">
        <v>263</v>
      </c>
      <c r="E132" s="15" t="str">
        <f>"0,6166"</f>
        <v>0,6166</v>
      </c>
      <c r="F132" s="15" t="s">
        <v>13</v>
      </c>
      <c r="G132" s="15" t="s">
        <v>138</v>
      </c>
      <c r="H132" s="18" t="s">
        <v>93</v>
      </c>
      <c r="I132" s="18" t="s">
        <v>93</v>
      </c>
      <c r="J132" s="18" t="s">
        <v>93</v>
      </c>
      <c r="K132" s="17"/>
      <c r="L132" s="30">
        <v>0</v>
      </c>
      <c r="M132" s="17" t="str">
        <f>"0,0000"</f>
        <v>0,0000</v>
      </c>
      <c r="N132" s="15" t="s">
        <v>264</v>
      </c>
    </row>
    <row r="133" spans="1:14" ht="12.75">
      <c r="A133" s="17" t="s">
        <v>102</v>
      </c>
      <c r="B133" s="15" t="s">
        <v>581</v>
      </c>
      <c r="C133" s="15" t="s">
        <v>582</v>
      </c>
      <c r="D133" s="15" t="s">
        <v>145</v>
      </c>
      <c r="E133" s="15" t="str">
        <f>"0,6155"</f>
        <v>0,6155</v>
      </c>
      <c r="F133" s="15" t="s">
        <v>13</v>
      </c>
      <c r="G133" s="15" t="s">
        <v>211</v>
      </c>
      <c r="H133" s="18" t="s">
        <v>84</v>
      </c>
      <c r="I133" s="18" t="s">
        <v>84</v>
      </c>
      <c r="J133" s="17"/>
      <c r="K133" s="17"/>
      <c r="L133" s="30">
        <v>0</v>
      </c>
      <c r="M133" s="17" t="str">
        <f>"0,0000"</f>
        <v>0,0000</v>
      </c>
      <c r="N133" s="15" t="s">
        <v>47</v>
      </c>
    </row>
    <row r="134" spans="1:14" ht="12.75">
      <c r="A134" s="17" t="s">
        <v>102</v>
      </c>
      <c r="B134" s="15" t="s">
        <v>583</v>
      </c>
      <c r="C134" s="15" t="s">
        <v>584</v>
      </c>
      <c r="D134" s="15" t="s">
        <v>585</v>
      </c>
      <c r="E134" s="15" t="str">
        <f>"0,6144"</f>
        <v>0,6144</v>
      </c>
      <c r="F134" s="15" t="s">
        <v>13</v>
      </c>
      <c r="G134" s="15" t="s">
        <v>14</v>
      </c>
      <c r="H134" s="18" t="s">
        <v>83</v>
      </c>
      <c r="I134" s="18" t="s">
        <v>83</v>
      </c>
      <c r="J134" s="18" t="s">
        <v>83</v>
      </c>
      <c r="K134" s="17"/>
      <c r="L134" s="30">
        <v>0</v>
      </c>
      <c r="M134" s="17" t="str">
        <f>"0,0000"</f>
        <v>0,0000</v>
      </c>
      <c r="N134" s="15" t="s">
        <v>24</v>
      </c>
    </row>
    <row r="135" spans="1:14" ht="12.75">
      <c r="A135" s="17" t="s">
        <v>12</v>
      </c>
      <c r="B135" s="15" t="s">
        <v>586</v>
      </c>
      <c r="C135" s="15" t="s">
        <v>587</v>
      </c>
      <c r="D135" s="15" t="s">
        <v>588</v>
      </c>
      <c r="E135" s="15" t="str">
        <f>"0,6101"</f>
        <v>0,6101</v>
      </c>
      <c r="F135" s="15" t="s">
        <v>13</v>
      </c>
      <c r="G135" s="15" t="s">
        <v>52</v>
      </c>
      <c r="H135" s="16" t="s">
        <v>63</v>
      </c>
      <c r="I135" s="18" t="s">
        <v>77</v>
      </c>
      <c r="J135" s="18" t="s">
        <v>77</v>
      </c>
      <c r="K135" s="17"/>
      <c r="L135" s="30" t="str">
        <f>"170,0"</f>
        <v>170,0</v>
      </c>
      <c r="M135" s="17" t="str">
        <f>"106,6211"</f>
        <v>106,6211</v>
      </c>
      <c r="N135" s="15" t="s">
        <v>47</v>
      </c>
    </row>
    <row r="136" spans="1:14" ht="12.75">
      <c r="A136" s="21" t="s">
        <v>12</v>
      </c>
      <c r="B136" s="19" t="s">
        <v>589</v>
      </c>
      <c r="C136" s="19" t="s">
        <v>590</v>
      </c>
      <c r="D136" s="19" t="s">
        <v>591</v>
      </c>
      <c r="E136" s="19" t="str">
        <f>"0,6118"</f>
        <v>0,6118</v>
      </c>
      <c r="F136" s="19" t="s">
        <v>13</v>
      </c>
      <c r="G136" s="19" t="s">
        <v>52</v>
      </c>
      <c r="H136" s="22" t="s">
        <v>56</v>
      </c>
      <c r="I136" s="22" t="s">
        <v>75</v>
      </c>
      <c r="J136" s="20" t="s">
        <v>75</v>
      </c>
      <c r="K136" s="21"/>
      <c r="L136" s="27" t="str">
        <f>"140,0"</f>
        <v>140,0</v>
      </c>
      <c r="M136" s="21" t="str">
        <f>"105,1807"</f>
        <v>105,1807</v>
      </c>
      <c r="N136" s="19" t="s">
        <v>47</v>
      </c>
    </row>
    <row r="137" ht="12.75">
      <c r="B137" s="5" t="s">
        <v>29</v>
      </c>
    </row>
    <row r="138" spans="1:13" ht="15">
      <c r="A138" s="49" t="s">
        <v>149</v>
      </c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4" ht="12.75">
      <c r="A139" s="14" t="s">
        <v>12</v>
      </c>
      <c r="B139" s="11" t="s">
        <v>592</v>
      </c>
      <c r="C139" s="11" t="s">
        <v>593</v>
      </c>
      <c r="D139" s="11" t="s">
        <v>594</v>
      </c>
      <c r="E139" s="11" t="str">
        <f>"0,5982"</f>
        <v>0,5982</v>
      </c>
      <c r="F139" s="11" t="s">
        <v>13</v>
      </c>
      <c r="G139" s="11" t="s">
        <v>301</v>
      </c>
      <c r="H139" s="13" t="s">
        <v>63</v>
      </c>
      <c r="I139" s="13" t="s">
        <v>84</v>
      </c>
      <c r="J139" s="13" t="s">
        <v>77</v>
      </c>
      <c r="K139" s="14"/>
      <c r="L139" s="26" t="str">
        <f>"180,0"</f>
        <v>180,0</v>
      </c>
      <c r="M139" s="14" t="str">
        <f>"107,6760"</f>
        <v>107,6760</v>
      </c>
      <c r="N139" s="11" t="s">
        <v>47</v>
      </c>
    </row>
    <row r="140" spans="1:14" ht="12.75">
      <c r="A140" s="17" t="s">
        <v>12</v>
      </c>
      <c r="B140" s="15" t="s">
        <v>265</v>
      </c>
      <c r="C140" s="15" t="s">
        <v>266</v>
      </c>
      <c r="D140" s="15" t="s">
        <v>267</v>
      </c>
      <c r="E140" s="15" t="str">
        <f>"0,5964"</f>
        <v>0,5964</v>
      </c>
      <c r="F140" s="15" t="s">
        <v>97</v>
      </c>
      <c r="G140" s="15" t="s">
        <v>268</v>
      </c>
      <c r="H140" s="16" t="s">
        <v>63</v>
      </c>
      <c r="I140" s="16" t="s">
        <v>84</v>
      </c>
      <c r="J140" s="16" t="s">
        <v>77</v>
      </c>
      <c r="K140" s="17"/>
      <c r="L140" s="30" t="str">
        <f>"180,0"</f>
        <v>180,0</v>
      </c>
      <c r="M140" s="17" t="str">
        <f>"107,3520"</f>
        <v>107,3520</v>
      </c>
      <c r="N140" s="15" t="s">
        <v>269</v>
      </c>
    </row>
    <row r="141" spans="1:14" ht="12.75">
      <c r="A141" s="17" t="s">
        <v>48</v>
      </c>
      <c r="B141" s="15" t="s">
        <v>595</v>
      </c>
      <c r="C141" s="15" t="s">
        <v>596</v>
      </c>
      <c r="D141" s="15" t="s">
        <v>597</v>
      </c>
      <c r="E141" s="15" t="str">
        <f>"0,5928"</f>
        <v>0,5928</v>
      </c>
      <c r="F141" s="15" t="s">
        <v>13</v>
      </c>
      <c r="G141" s="15" t="s">
        <v>52</v>
      </c>
      <c r="H141" s="16" t="s">
        <v>146</v>
      </c>
      <c r="I141" s="16" t="s">
        <v>83</v>
      </c>
      <c r="J141" s="16" t="s">
        <v>148</v>
      </c>
      <c r="K141" s="17"/>
      <c r="L141" s="30" t="str">
        <f>"152,5"</f>
        <v>152,5</v>
      </c>
      <c r="M141" s="17" t="str">
        <f>"90,4020"</f>
        <v>90,4020</v>
      </c>
      <c r="N141" s="15" t="s">
        <v>47</v>
      </c>
    </row>
    <row r="142" spans="1:14" ht="12.75">
      <c r="A142" s="17" t="s">
        <v>12</v>
      </c>
      <c r="B142" s="15" t="s">
        <v>598</v>
      </c>
      <c r="C142" s="15" t="s">
        <v>599</v>
      </c>
      <c r="D142" s="15" t="s">
        <v>600</v>
      </c>
      <c r="E142" s="15" t="str">
        <f>"0,5926"</f>
        <v>0,5926</v>
      </c>
      <c r="F142" s="15" t="s">
        <v>13</v>
      </c>
      <c r="G142" s="15" t="s">
        <v>218</v>
      </c>
      <c r="H142" s="16" t="s">
        <v>112</v>
      </c>
      <c r="I142" s="16" t="s">
        <v>63</v>
      </c>
      <c r="J142" s="18" t="s">
        <v>84</v>
      </c>
      <c r="K142" s="17"/>
      <c r="L142" s="30" t="str">
        <f>"170,0"</f>
        <v>170,0</v>
      </c>
      <c r="M142" s="17" t="str">
        <f>"110,4132"</f>
        <v>110,4132</v>
      </c>
      <c r="N142" s="15" t="s">
        <v>601</v>
      </c>
    </row>
    <row r="143" spans="1:14" ht="12.75">
      <c r="A143" s="17" t="s">
        <v>48</v>
      </c>
      <c r="B143" s="15" t="s">
        <v>150</v>
      </c>
      <c r="C143" s="15" t="s">
        <v>151</v>
      </c>
      <c r="D143" s="15" t="s">
        <v>152</v>
      </c>
      <c r="E143" s="15" t="str">
        <f>"0,5910"</f>
        <v>0,5910</v>
      </c>
      <c r="F143" s="15" t="s">
        <v>13</v>
      </c>
      <c r="G143" s="15" t="s">
        <v>138</v>
      </c>
      <c r="H143" s="16" t="s">
        <v>75</v>
      </c>
      <c r="I143" s="16" t="s">
        <v>83</v>
      </c>
      <c r="J143" s="16" t="s">
        <v>62</v>
      </c>
      <c r="K143" s="17"/>
      <c r="L143" s="30" t="str">
        <f>"160,0"</f>
        <v>160,0</v>
      </c>
      <c r="M143" s="17" t="str">
        <f>"98,7206"</f>
        <v>98,7206</v>
      </c>
      <c r="N143" s="15" t="s">
        <v>47</v>
      </c>
    </row>
    <row r="144" spans="1:14" ht="12.75">
      <c r="A144" s="17" t="s">
        <v>50</v>
      </c>
      <c r="B144" s="15" t="s">
        <v>602</v>
      </c>
      <c r="C144" s="15" t="s">
        <v>603</v>
      </c>
      <c r="D144" s="15" t="s">
        <v>604</v>
      </c>
      <c r="E144" s="15" t="str">
        <f>"0,5924"</f>
        <v>0,5924</v>
      </c>
      <c r="F144" s="15" t="s">
        <v>13</v>
      </c>
      <c r="G144" s="15" t="s">
        <v>52</v>
      </c>
      <c r="H144" s="16" t="s">
        <v>60</v>
      </c>
      <c r="I144" s="16" t="s">
        <v>146</v>
      </c>
      <c r="J144" s="18" t="s">
        <v>83</v>
      </c>
      <c r="K144" s="17"/>
      <c r="L144" s="30" t="str">
        <f>"147,5"</f>
        <v>147,5</v>
      </c>
      <c r="M144" s="17" t="str">
        <f>"88,6023"</f>
        <v>88,6023</v>
      </c>
      <c r="N144" s="15" t="s">
        <v>47</v>
      </c>
    </row>
    <row r="145" spans="1:14" ht="12.75">
      <c r="A145" s="21" t="s">
        <v>12</v>
      </c>
      <c r="B145" s="19" t="s">
        <v>605</v>
      </c>
      <c r="C145" s="19" t="s">
        <v>606</v>
      </c>
      <c r="D145" s="19" t="s">
        <v>607</v>
      </c>
      <c r="E145" s="19" t="str">
        <f>"0,5945"</f>
        <v>0,5945</v>
      </c>
      <c r="F145" s="19" t="s">
        <v>13</v>
      </c>
      <c r="G145" s="19" t="s">
        <v>52</v>
      </c>
      <c r="H145" s="20" t="s">
        <v>56</v>
      </c>
      <c r="I145" s="20" t="s">
        <v>75</v>
      </c>
      <c r="J145" s="20" t="s">
        <v>79</v>
      </c>
      <c r="K145" s="21"/>
      <c r="L145" s="27" t="str">
        <f>"145,0"</f>
        <v>145,0</v>
      </c>
      <c r="M145" s="21" t="str">
        <f>"126,7177"</f>
        <v>126,7177</v>
      </c>
      <c r="N145" s="19" t="s">
        <v>47</v>
      </c>
    </row>
    <row r="146" ht="12.75">
      <c r="B146" s="5" t="s">
        <v>29</v>
      </c>
    </row>
    <row r="147" spans="1:13" ht="15">
      <c r="A147" s="49" t="s">
        <v>153</v>
      </c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spans="1:14" ht="12.75">
      <c r="A148" s="14" t="s">
        <v>12</v>
      </c>
      <c r="B148" s="11" t="s">
        <v>608</v>
      </c>
      <c r="C148" s="11" t="s">
        <v>609</v>
      </c>
      <c r="D148" s="11" t="s">
        <v>610</v>
      </c>
      <c r="E148" s="11" t="str">
        <f>"0,5795"</f>
        <v>0,5795</v>
      </c>
      <c r="F148" s="11" t="s">
        <v>13</v>
      </c>
      <c r="G148" s="11" t="s">
        <v>52</v>
      </c>
      <c r="H148" s="13" t="s">
        <v>93</v>
      </c>
      <c r="I148" s="13" t="s">
        <v>85</v>
      </c>
      <c r="J148" s="13" t="s">
        <v>64</v>
      </c>
      <c r="K148" s="14"/>
      <c r="L148" s="26" t="str">
        <f>"205,0"</f>
        <v>205,0</v>
      </c>
      <c r="M148" s="14" t="str">
        <f>"118,7975"</f>
        <v>118,7975</v>
      </c>
      <c r="N148" s="11" t="s">
        <v>47</v>
      </c>
    </row>
    <row r="149" spans="1:14" ht="12.75">
      <c r="A149" s="17" t="s">
        <v>48</v>
      </c>
      <c r="B149" s="15" t="s">
        <v>611</v>
      </c>
      <c r="C149" s="15" t="s">
        <v>612</v>
      </c>
      <c r="D149" s="15" t="s">
        <v>613</v>
      </c>
      <c r="E149" s="15" t="str">
        <f>"0,5878"</f>
        <v>0,5878</v>
      </c>
      <c r="F149" s="15" t="s">
        <v>13</v>
      </c>
      <c r="G149" s="15" t="s">
        <v>14</v>
      </c>
      <c r="H149" s="16" t="s">
        <v>85</v>
      </c>
      <c r="I149" s="18" t="s">
        <v>64</v>
      </c>
      <c r="J149" s="18" t="s">
        <v>64</v>
      </c>
      <c r="K149" s="17"/>
      <c r="L149" s="30" t="str">
        <f>"200,0"</f>
        <v>200,0</v>
      </c>
      <c r="M149" s="17" t="str">
        <f>"117,5600"</f>
        <v>117,5600</v>
      </c>
      <c r="N149" s="15" t="s">
        <v>614</v>
      </c>
    </row>
    <row r="150" spans="1:14" ht="12.75">
      <c r="A150" s="17" t="s">
        <v>102</v>
      </c>
      <c r="B150" s="15" t="s">
        <v>615</v>
      </c>
      <c r="C150" s="15" t="s">
        <v>616</v>
      </c>
      <c r="D150" s="15" t="s">
        <v>617</v>
      </c>
      <c r="E150" s="15" t="str">
        <f>"0,5768"</f>
        <v>0,5768</v>
      </c>
      <c r="F150" s="15" t="s">
        <v>13</v>
      </c>
      <c r="G150" s="15" t="s">
        <v>108</v>
      </c>
      <c r="H150" s="18" t="s">
        <v>77</v>
      </c>
      <c r="I150" s="18" t="s">
        <v>77</v>
      </c>
      <c r="J150" s="17"/>
      <c r="K150" s="17"/>
      <c r="L150" s="30">
        <v>0</v>
      </c>
      <c r="M150" s="17" t="str">
        <f>"0,0000"</f>
        <v>0,0000</v>
      </c>
      <c r="N150" s="15" t="s">
        <v>47</v>
      </c>
    </row>
    <row r="151" spans="1:14" ht="12.75">
      <c r="A151" s="17" t="s">
        <v>102</v>
      </c>
      <c r="B151" s="15" t="s">
        <v>618</v>
      </c>
      <c r="C151" s="15" t="s">
        <v>619</v>
      </c>
      <c r="D151" s="15" t="s">
        <v>620</v>
      </c>
      <c r="E151" s="15" t="str">
        <f>"0,5732"</f>
        <v>0,5732</v>
      </c>
      <c r="F151" s="15" t="s">
        <v>13</v>
      </c>
      <c r="G151" s="15" t="s">
        <v>52</v>
      </c>
      <c r="H151" s="18" t="s">
        <v>85</v>
      </c>
      <c r="I151" s="18" t="s">
        <v>85</v>
      </c>
      <c r="J151" s="18" t="s">
        <v>85</v>
      </c>
      <c r="K151" s="17"/>
      <c r="L151" s="30">
        <v>0</v>
      </c>
      <c r="M151" s="17" t="str">
        <f>"0,0000"</f>
        <v>0,0000</v>
      </c>
      <c r="N151" s="15" t="s">
        <v>621</v>
      </c>
    </row>
    <row r="152" spans="1:14" ht="12.75">
      <c r="A152" s="17" t="s">
        <v>12</v>
      </c>
      <c r="B152" s="15" t="s">
        <v>611</v>
      </c>
      <c r="C152" s="15" t="s">
        <v>622</v>
      </c>
      <c r="D152" s="15" t="s">
        <v>613</v>
      </c>
      <c r="E152" s="15" t="str">
        <f>"0,5878"</f>
        <v>0,5878</v>
      </c>
      <c r="F152" s="15" t="s">
        <v>13</v>
      </c>
      <c r="G152" s="15" t="s">
        <v>14</v>
      </c>
      <c r="H152" s="16" t="s">
        <v>85</v>
      </c>
      <c r="I152" s="18" t="s">
        <v>64</v>
      </c>
      <c r="J152" s="18" t="s">
        <v>64</v>
      </c>
      <c r="K152" s="17"/>
      <c r="L152" s="30" t="str">
        <f>"200,0"</f>
        <v>200,0</v>
      </c>
      <c r="M152" s="17" t="str">
        <f>"119,2058"</f>
        <v>119,2058</v>
      </c>
      <c r="N152" s="15" t="s">
        <v>614</v>
      </c>
    </row>
    <row r="153" spans="1:14" ht="12.75">
      <c r="A153" s="21" t="s">
        <v>48</v>
      </c>
      <c r="B153" s="19" t="s">
        <v>623</v>
      </c>
      <c r="C153" s="19" t="s">
        <v>624</v>
      </c>
      <c r="D153" s="19" t="s">
        <v>625</v>
      </c>
      <c r="E153" s="19" t="str">
        <f>"0,5735"</f>
        <v>0,5735</v>
      </c>
      <c r="F153" s="19" t="s">
        <v>103</v>
      </c>
      <c r="G153" s="19" t="s">
        <v>213</v>
      </c>
      <c r="H153" s="20" t="s">
        <v>113</v>
      </c>
      <c r="I153" s="20" t="s">
        <v>114</v>
      </c>
      <c r="J153" s="20" t="s">
        <v>77</v>
      </c>
      <c r="K153" s="21"/>
      <c r="L153" s="27" t="str">
        <f>"180,0"</f>
        <v>180,0</v>
      </c>
      <c r="M153" s="21" t="str">
        <f>"113,1401"</f>
        <v>113,1401</v>
      </c>
      <c r="N153" s="19" t="s">
        <v>47</v>
      </c>
    </row>
    <row r="154" ht="12.75">
      <c r="B154" s="5" t="s">
        <v>29</v>
      </c>
    </row>
    <row r="155" spans="1:13" ht="15">
      <c r="A155" s="49" t="s">
        <v>197</v>
      </c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 ht="12.75">
      <c r="A156" s="41" t="s">
        <v>626</v>
      </c>
      <c r="B156" s="11" t="s">
        <v>627</v>
      </c>
      <c r="C156" s="11" t="s">
        <v>628</v>
      </c>
      <c r="D156" s="11" t="s">
        <v>629</v>
      </c>
      <c r="E156" s="11" t="str">
        <f>"0,5670"</f>
        <v>0,5670</v>
      </c>
      <c r="F156" s="11" t="s">
        <v>13</v>
      </c>
      <c r="G156" s="11" t="s">
        <v>630</v>
      </c>
      <c r="H156" s="13" t="s">
        <v>65</v>
      </c>
      <c r="I156" s="13" t="s">
        <v>87</v>
      </c>
      <c r="J156" s="12" t="s">
        <v>90</v>
      </c>
      <c r="K156" s="14"/>
      <c r="L156" s="26" t="str">
        <f>"225,0"</f>
        <v>225,0</v>
      </c>
      <c r="M156" s="14" t="str">
        <f>"127,5750"</f>
        <v>127,5750</v>
      </c>
      <c r="N156" s="11" t="s">
        <v>47</v>
      </c>
    </row>
    <row r="157" spans="1:14" ht="12.75">
      <c r="A157" s="17" t="s">
        <v>12</v>
      </c>
      <c r="B157" s="15" t="s">
        <v>631</v>
      </c>
      <c r="C157" s="15" t="s">
        <v>632</v>
      </c>
      <c r="D157" s="15" t="s">
        <v>633</v>
      </c>
      <c r="E157" s="15" t="str">
        <f>"0,5674"</f>
        <v>0,5674</v>
      </c>
      <c r="F157" s="15" t="s">
        <v>13</v>
      </c>
      <c r="G157" s="15" t="s">
        <v>52</v>
      </c>
      <c r="H157" s="18" t="s">
        <v>93</v>
      </c>
      <c r="I157" s="16" t="s">
        <v>93</v>
      </c>
      <c r="J157" s="18" t="s">
        <v>85</v>
      </c>
      <c r="K157" s="17"/>
      <c r="L157" s="30" t="str">
        <f>"195,0"</f>
        <v>195,0</v>
      </c>
      <c r="M157" s="17" t="str">
        <f>"110,6430"</f>
        <v>110,6430</v>
      </c>
      <c r="N157" s="15" t="s">
        <v>47</v>
      </c>
    </row>
    <row r="158" spans="1:14" ht="12.75">
      <c r="A158" s="17" t="s">
        <v>48</v>
      </c>
      <c r="B158" s="15" t="s">
        <v>634</v>
      </c>
      <c r="C158" s="15" t="s">
        <v>635</v>
      </c>
      <c r="D158" s="15" t="s">
        <v>636</v>
      </c>
      <c r="E158" s="15" t="str">
        <f>"0,5677"</f>
        <v>0,5677</v>
      </c>
      <c r="F158" s="15" t="s">
        <v>13</v>
      </c>
      <c r="G158" s="15" t="s">
        <v>52</v>
      </c>
      <c r="H158" s="16" t="s">
        <v>84</v>
      </c>
      <c r="I158" s="18" t="s">
        <v>77</v>
      </c>
      <c r="J158" s="16" t="s">
        <v>77</v>
      </c>
      <c r="K158" s="17"/>
      <c r="L158" s="30" t="str">
        <f>"180,0"</f>
        <v>180,0</v>
      </c>
      <c r="M158" s="17" t="str">
        <f>"102,1860"</f>
        <v>102,1860</v>
      </c>
      <c r="N158" s="15" t="s">
        <v>47</v>
      </c>
    </row>
    <row r="159" spans="1:14" ht="12.75">
      <c r="A159" s="21" t="s">
        <v>12</v>
      </c>
      <c r="B159" s="19" t="s">
        <v>634</v>
      </c>
      <c r="C159" s="19" t="s">
        <v>637</v>
      </c>
      <c r="D159" s="19" t="s">
        <v>636</v>
      </c>
      <c r="E159" s="19" t="str">
        <f>"0,5677"</f>
        <v>0,5677</v>
      </c>
      <c r="F159" s="19" t="s">
        <v>13</v>
      </c>
      <c r="G159" s="19" t="s">
        <v>52</v>
      </c>
      <c r="H159" s="20" t="s">
        <v>84</v>
      </c>
      <c r="I159" s="22" t="s">
        <v>77</v>
      </c>
      <c r="J159" s="20" t="s">
        <v>77</v>
      </c>
      <c r="K159" s="21"/>
      <c r="L159" s="27" t="str">
        <f>"180,0"</f>
        <v>180,0</v>
      </c>
      <c r="M159" s="21" t="str">
        <f>"102,1860"</f>
        <v>102,1860</v>
      </c>
      <c r="N159" s="19" t="s">
        <v>47</v>
      </c>
    </row>
    <row r="160" ht="12.75">
      <c r="B160" s="5" t="s">
        <v>29</v>
      </c>
    </row>
    <row r="161" spans="2:6" ht="15">
      <c r="B161" s="5" t="s">
        <v>29</v>
      </c>
      <c r="F161" s="23"/>
    </row>
    <row r="162" ht="12.75">
      <c r="B162" s="5" t="s">
        <v>29</v>
      </c>
    </row>
    <row r="163" spans="2:7" ht="18">
      <c r="B163" s="24" t="s">
        <v>155</v>
      </c>
      <c r="C163" s="24"/>
      <c r="G163" s="3"/>
    </row>
    <row r="164" spans="2:7" ht="15">
      <c r="B164" s="43" t="s">
        <v>201</v>
      </c>
      <c r="C164" s="43"/>
      <c r="G164" s="3"/>
    </row>
    <row r="165" spans="2:7" ht="14.25">
      <c r="B165" s="25"/>
      <c r="C165" s="25" t="s">
        <v>166</v>
      </c>
      <c r="G165" s="3"/>
    </row>
    <row r="166" spans="2:7" ht="15">
      <c r="B166" s="4" t="s">
        <v>158</v>
      </c>
      <c r="C166" s="4" t="s">
        <v>159</v>
      </c>
      <c r="D166" s="4" t="s">
        <v>160</v>
      </c>
      <c r="E166" s="4" t="s">
        <v>283</v>
      </c>
      <c r="F166" s="4" t="s">
        <v>161</v>
      </c>
      <c r="G166" s="3"/>
    </row>
    <row r="167" spans="2:7" ht="12.75">
      <c r="B167" s="5" t="s">
        <v>326</v>
      </c>
      <c r="C167" s="5" t="s">
        <v>166</v>
      </c>
      <c r="D167" s="6" t="s">
        <v>163</v>
      </c>
      <c r="E167" s="6" t="s">
        <v>28</v>
      </c>
      <c r="F167" s="6" t="s">
        <v>638</v>
      </c>
      <c r="G167" s="3"/>
    </row>
    <row r="168" spans="2:7" ht="12.75">
      <c r="B168" s="5" t="s">
        <v>284</v>
      </c>
      <c r="C168" s="5" t="s">
        <v>166</v>
      </c>
      <c r="D168" s="6" t="s">
        <v>639</v>
      </c>
      <c r="E168" s="6" t="s">
        <v>25</v>
      </c>
      <c r="F168" s="6" t="s">
        <v>640</v>
      </c>
      <c r="G168" s="3"/>
    </row>
    <row r="169" spans="2:7" ht="12.75">
      <c r="B169" s="5" t="s">
        <v>315</v>
      </c>
      <c r="C169" s="5" t="s">
        <v>166</v>
      </c>
      <c r="D169" s="6" t="s">
        <v>202</v>
      </c>
      <c r="E169" s="6" t="s">
        <v>168</v>
      </c>
      <c r="F169" s="6" t="s">
        <v>641</v>
      </c>
      <c r="G169" s="3"/>
    </row>
    <row r="170" ht="12.75">
      <c r="G170" s="3"/>
    </row>
    <row r="171" spans="2:7" ht="15">
      <c r="B171" s="43" t="s">
        <v>156</v>
      </c>
      <c r="C171" s="43"/>
      <c r="G171" s="3"/>
    </row>
    <row r="172" spans="2:7" ht="14.25">
      <c r="B172" s="25"/>
      <c r="C172" s="25" t="s">
        <v>157</v>
      </c>
      <c r="G172" s="3"/>
    </row>
    <row r="173" spans="2:7" ht="15">
      <c r="B173" s="4" t="s">
        <v>158</v>
      </c>
      <c r="C173" s="4" t="s">
        <v>159</v>
      </c>
      <c r="D173" s="4" t="s">
        <v>160</v>
      </c>
      <c r="E173" s="4" t="s">
        <v>283</v>
      </c>
      <c r="F173" s="4" t="s">
        <v>161</v>
      </c>
      <c r="G173" s="3"/>
    </row>
    <row r="174" spans="2:7" ht="12.75">
      <c r="B174" s="5" t="s">
        <v>555</v>
      </c>
      <c r="C174" s="5" t="s">
        <v>162</v>
      </c>
      <c r="D174" s="6" t="s">
        <v>167</v>
      </c>
      <c r="E174" s="6" t="s">
        <v>133</v>
      </c>
      <c r="F174" s="6" t="s">
        <v>642</v>
      </c>
      <c r="G174" s="3"/>
    </row>
    <row r="175" spans="2:7" ht="12.75">
      <c r="B175" s="5" t="s">
        <v>428</v>
      </c>
      <c r="C175" s="5" t="s">
        <v>162</v>
      </c>
      <c r="D175" s="6" t="s">
        <v>165</v>
      </c>
      <c r="E175" s="6" t="s">
        <v>56</v>
      </c>
      <c r="F175" s="6" t="s">
        <v>643</v>
      </c>
      <c r="G175" s="3"/>
    </row>
    <row r="176" spans="2:7" ht="12.75">
      <c r="B176" s="5" t="s">
        <v>121</v>
      </c>
      <c r="C176" s="5" t="s">
        <v>162</v>
      </c>
      <c r="D176" s="6" t="s">
        <v>164</v>
      </c>
      <c r="E176" s="6" t="s">
        <v>79</v>
      </c>
      <c r="F176" s="6" t="s">
        <v>644</v>
      </c>
      <c r="G176" s="3"/>
    </row>
    <row r="177" ht="12.75">
      <c r="G177" s="3"/>
    </row>
    <row r="178" spans="2:7" ht="14.25">
      <c r="B178" s="25"/>
      <c r="C178" s="25" t="s">
        <v>645</v>
      </c>
      <c r="G178" s="3"/>
    </row>
    <row r="179" spans="2:7" ht="15">
      <c r="B179" s="4" t="s">
        <v>158</v>
      </c>
      <c r="C179" s="4" t="s">
        <v>159</v>
      </c>
      <c r="D179" s="4" t="s">
        <v>160</v>
      </c>
      <c r="E179" s="4" t="s">
        <v>283</v>
      </c>
      <c r="F179" s="4" t="s">
        <v>161</v>
      </c>
      <c r="G179" s="3"/>
    </row>
    <row r="180" spans="2:7" ht="12.75">
      <c r="B180" s="5" t="s">
        <v>377</v>
      </c>
      <c r="C180" s="5" t="s">
        <v>645</v>
      </c>
      <c r="D180" s="6" t="s">
        <v>163</v>
      </c>
      <c r="E180" s="6" t="s">
        <v>70</v>
      </c>
      <c r="F180" s="6" t="s">
        <v>646</v>
      </c>
      <c r="G180" s="3"/>
    </row>
    <row r="181" spans="2:7" ht="12.75">
      <c r="B181" s="5" t="s">
        <v>592</v>
      </c>
      <c r="C181" s="5" t="s">
        <v>645</v>
      </c>
      <c r="D181" s="6" t="s">
        <v>271</v>
      </c>
      <c r="E181" s="6" t="s">
        <v>77</v>
      </c>
      <c r="F181" s="6" t="s">
        <v>647</v>
      </c>
      <c r="G181" s="3"/>
    </row>
    <row r="182" spans="2:7" ht="12.75">
      <c r="B182" s="5" t="s">
        <v>380</v>
      </c>
      <c r="C182" s="5" t="s">
        <v>645</v>
      </c>
      <c r="D182" s="6" t="s">
        <v>163</v>
      </c>
      <c r="E182" s="6" t="s">
        <v>59</v>
      </c>
      <c r="F182" s="6" t="s">
        <v>648</v>
      </c>
      <c r="G182" s="3"/>
    </row>
    <row r="183" ht="12.75">
      <c r="G183" s="3"/>
    </row>
    <row r="184" spans="2:7" ht="14.25">
      <c r="B184" s="25"/>
      <c r="C184" s="25" t="s">
        <v>166</v>
      </c>
      <c r="G184" s="3"/>
    </row>
    <row r="185" spans="2:7" ht="15">
      <c r="B185" s="4" t="s">
        <v>158</v>
      </c>
      <c r="C185" s="4" t="s">
        <v>159</v>
      </c>
      <c r="D185" s="4" t="s">
        <v>160</v>
      </c>
      <c r="E185" s="4" t="s">
        <v>283</v>
      </c>
      <c r="F185" s="4" t="s">
        <v>161</v>
      </c>
      <c r="G185" s="3"/>
    </row>
    <row r="186" spans="2:7" ht="12.75">
      <c r="B186" s="5" t="s">
        <v>390</v>
      </c>
      <c r="C186" s="5" t="s">
        <v>166</v>
      </c>
      <c r="D186" s="6" t="s">
        <v>163</v>
      </c>
      <c r="E186" s="6" t="s">
        <v>89</v>
      </c>
      <c r="F186" s="6" t="s">
        <v>649</v>
      </c>
      <c r="G186" s="3"/>
    </row>
    <row r="187" spans="1:7" ht="12.75">
      <c r="A187" s="40" t="s">
        <v>626</v>
      </c>
      <c r="B187" s="5" t="s">
        <v>627</v>
      </c>
      <c r="C187" s="5" t="s">
        <v>166</v>
      </c>
      <c r="D187" s="6" t="s">
        <v>204</v>
      </c>
      <c r="E187" s="6" t="s">
        <v>87</v>
      </c>
      <c r="F187" s="6" t="s">
        <v>650</v>
      </c>
      <c r="G187" s="3"/>
    </row>
    <row r="188" spans="2:7" ht="12.75">
      <c r="B188" s="5" t="s">
        <v>608</v>
      </c>
      <c r="C188" s="5" t="s">
        <v>166</v>
      </c>
      <c r="D188" s="6" t="s">
        <v>244</v>
      </c>
      <c r="E188" s="6" t="s">
        <v>64</v>
      </c>
      <c r="F188" s="6" t="s">
        <v>651</v>
      </c>
      <c r="G188" s="3"/>
    </row>
    <row r="189" ht="12.75">
      <c r="G189" s="3"/>
    </row>
    <row r="190" spans="2:7" ht="14.25">
      <c r="B190" s="25"/>
      <c r="C190" s="25" t="s">
        <v>652</v>
      </c>
      <c r="G190" s="3"/>
    </row>
    <row r="191" spans="2:7" ht="15">
      <c r="B191" s="4" t="s">
        <v>158</v>
      </c>
      <c r="C191" s="4" t="s">
        <v>159</v>
      </c>
      <c r="D191" s="4" t="s">
        <v>160</v>
      </c>
      <c r="E191" s="4" t="s">
        <v>283</v>
      </c>
      <c r="F191" s="4" t="s">
        <v>161</v>
      </c>
      <c r="G191" s="3"/>
    </row>
    <row r="192" spans="2:7" ht="12.75">
      <c r="B192" s="5" t="s">
        <v>551</v>
      </c>
      <c r="C192" s="5" t="s">
        <v>653</v>
      </c>
      <c r="D192" s="6" t="s">
        <v>164</v>
      </c>
      <c r="E192" s="6" t="s">
        <v>75</v>
      </c>
      <c r="F192" s="6" t="s">
        <v>654</v>
      </c>
      <c r="G192" s="3"/>
    </row>
    <row r="193" spans="2:7" ht="12.75">
      <c r="B193" s="5" t="s">
        <v>422</v>
      </c>
      <c r="C193" s="5" t="s">
        <v>653</v>
      </c>
      <c r="D193" s="6" t="s">
        <v>163</v>
      </c>
      <c r="E193" s="6" t="s">
        <v>171</v>
      </c>
      <c r="F193" s="6" t="s">
        <v>655</v>
      </c>
      <c r="G193" s="3"/>
    </row>
    <row r="194" spans="2:7" ht="12.75">
      <c r="B194" s="5" t="s">
        <v>605</v>
      </c>
      <c r="C194" s="5" t="s">
        <v>653</v>
      </c>
      <c r="D194" s="6" t="s">
        <v>271</v>
      </c>
      <c r="E194" s="6" t="s">
        <v>79</v>
      </c>
      <c r="F194" s="6" t="s">
        <v>656</v>
      </c>
      <c r="G194" s="3"/>
    </row>
    <row r="195" ht="12.75">
      <c r="B195" s="5" t="s">
        <v>29</v>
      </c>
    </row>
  </sheetData>
  <sheetProtection/>
  <mergeCells count="31">
    <mergeCell ref="A41:M41"/>
    <mergeCell ref="A138:M138"/>
    <mergeCell ref="A147:M147"/>
    <mergeCell ref="A155:M155"/>
    <mergeCell ref="B3:B4"/>
    <mergeCell ref="A44:M44"/>
    <mergeCell ref="A47:M47"/>
    <mergeCell ref="A58:M58"/>
    <mergeCell ref="A76:M76"/>
    <mergeCell ref="A99:M99"/>
    <mergeCell ref="A122:M122"/>
    <mergeCell ref="A18:M18"/>
    <mergeCell ref="A24:M24"/>
    <mergeCell ref="A27:M27"/>
    <mergeCell ref="A30:M30"/>
    <mergeCell ref="A35:M35"/>
    <mergeCell ref="A38:M38"/>
    <mergeCell ref="A12:M12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9:M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C1">
      <selection activeCell="D114" sqref="D114"/>
    </sheetView>
  </sheetViews>
  <sheetFormatPr defaultColWidth="9.125" defaultRowHeight="12.75"/>
  <cols>
    <col min="1" max="1" width="7.375" style="6" bestFit="1" customWidth="1"/>
    <col min="2" max="2" width="23.25390625" style="5" bestFit="1" customWidth="1"/>
    <col min="3" max="3" width="27.375" style="5" bestFit="1" customWidth="1"/>
    <col min="4" max="4" width="14.375" style="5" customWidth="1"/>
    <col min="5" max="5" width="10.375" style="5" bestFit="1" customWidth="1"/>
    <col min="6" max="6" width="19.25390625" style="5" customWidth="1"/>
    <col min="7" max="7" width="22.375" style="5" customWidth="1"/>
    <col min="8" max="11" width="5.375" style="6" bestFit="1" customWidth="1"/>
    <col min="12" max="12" width="11.25390625" style="6" bestFit="1" customWidth="1"/>
    <col min="13" max="13" width="8.375" style="6" bestFit="1" customWidth="1"/>
    <col min="14" max="14" width="22.375" style="5" customWidth="1"/>
    <col min="15" max="16384" width="9.125" style="3" customWidth="1"/>
  </cols>
  <sheetData>
    <row r="1" spans="1:14" s="2" customFormat="1" ht="28.5" customHeight="1">
      <c r="A1" s="51" t="s">
        <v>657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2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1"/>
      <c r="M4" s="61"/>
      <c r="N4" s="46"/>
    </row>
    <row r="5" spans="1:13" ht="15">
      <c r="A5" s="47" t="s">
        <v>245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658</v>
      </c>
      <c r="C6" s="7" t="s">
        <v>659</v>
      </c>
      <c r="D6" s="7" t="s">
        <v>660</v>
      </c>
      <c r="E6" s="7" t="str">
        <f>"1,2212"</f>
        <v>1,2212</v>
      </c>
      <c r="F6" s="7" t="s">
        <v>13</v>
      </c>
      <c r="G6" s="7" t="s">
        <v>52</v>
      </c>
      <c r="H6" s="8" t="s">
        <v>27</v>
      </c>
      <c r="I6" s="8" t="s">
        <v>18</v>
      </c>
      <c r="J6" s="8" t="s">
        <v>19</v>
      </c>
      <c r="K6" s="10"/>
      <c r="L6" s="10" t="str">
        <f>"45,0"</f>
        <v>45,0</v>
      </c>
      <c r="M6" s="10" t="str">
        <f>"54,9540"</f>
        <v>54,9540</v>
      </c>
      <c r="N6" s="7" t="s">
        <v>661</v>
      </c>
    </row>
    <row r="7" ht="12.75">
      <c r="B7" s="5" t="s">
        <v>29</v>
      </c>
    </row>
    <row r="8" spans="1:13" ht="15">
      <c r="A8" s="49" t="s">
        <v>39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4" t="s">
        <v>12</v>
      </c>
      <c r="B9" s="11" t="s">
        <v>662</v>
      </c>
      <c r="C9" s="11" t="s">
        <v>663</v>
      </c>
      <c r="D9" s="11" t="s">
        <v>664</v>
      </c>
      <c r="E9" s="11" t="str">
        <f>"1,1386"</f>
        <v>1,1386</v>
      </c>
      <c r="F9" s="11" t="s">
        <v>97</v>
      </c>
      <c r="G9" s="11" t="s">
        <v>232</v>
      </c>
      <c r="H9" s="13" t="s">
        <v>69</v>
      </c>
      <c r="I9" s="12" t="s">
        <v>41</v>
      </c>
      <c r="J9" s="12" t="s">
        <v>41</v>
      </c>
      <c r="K9" s="14"/>
      <c r="L9" s="14" t="str">
        <f>"82,5"</f>
        <v>82,5</v>
      </c>
      <c r="M9" s="14" t="str">
        <f>"93,9345"</f>
        <v>93,9345</v>
      </c>
      <c r="N9" s="11" t="s">
        <v>665</v>
      </c>
    </row>
    <row r="10" spans="1:14" ht="12.75">
      <c r="A10" s="21" t="s">
        <v>12</v>
      </c>
      <c r="B10" s="19" t="s">
        <v>662</v>
      </c>
      <c r="C10" s="19" t="s">
        <v>666</v>
      </c>
      <c r="D10" s="19" t="s">
        <v>664</v>
      </c>
      <c r="E10" s="19" t="str">
        <f>"1,1386"</f>
        <v>1,1386</v>
      </c>
      <c r="F10" s="19" t="s">
        <v>97</v>
      </c>
      <c r="G10" s="19" t="s">
        <v>232</v>
      </c>
      <c r="H10" s="20" t="s">
        <v>69</v>
      </c>
      <c r="I10" s="22" t="s">
        <v>41</v>
      </c>
      <c r="J10" s="22" t="s">
        <v>41</v>
      </c>
      <c r="K10" s="21"/>
      <c r="L10" s="21" t="str">
        <f>"82,5"</f>
        <v>82,5</v>
      </c>
      <c r="M10" s="21" t="str">
        <f>"93,9345"</f>
        <v>93,9345</v>
      </c>
      <c r="N10" s="19" t="s">
        <v>665</v>
      </c>
    </row>
    <row r="11" ht="12.75">
      <c r="B11" s="5" t="s">
        <v>29</v>
      </c>
    </row>
    <row r="12" spans="1:13" ht="15">
      <c r="A12" s="49" t="s">
        <v>82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4" ht="12.75">
      <c r="A13" s="14" t="s">
        <v>12</v>
      </c>
      <c r="B13" s="11" t="s">
        <v>667</v>
      </c>
      <c r="C13" s="11" t="s">
        <v>668</v>
      </c>
      <c r="D13" s="11" t="s">
        <v>669</v>
      </c>
      <c r="E13" s="11" t="str">
        <f>"0,9522"</f>
        <v>0,9522</v>
      </c>
      <c r="F13" s="11" t="s">
        <v>13</v>
      </c>
      <c r="G13" s="11" t="s">
        <v>52</v>
      </c>
      <c r="H13" s="13" t="s">
        <v>28</v>
      </c>
      <c r="I13" s="13" t="s">
        <v>55</v>
      </c>
      <c r="J13" s="12" t="s">
        <v>68</v>
      </c>
      <c r="K13" s="14"/>
      <c r="L13" s="14" t="str">
        <f>"110,0"</f>
        <v>110,0</v>
      </c>
      <c r="M13" s="14" t="str">
        <f>"104,7420"</f>
        <v>104,7420</v>
      </c>
      <c r="N13" s="11" t="s">
        <v>670</v>
      </c>
    </row>
    <row r="14" spans="1:14" ht="12.75">
      <c r="A14" s="21" t="s">
        <v>12</v>
      </c>
      <c r="B14" s="19" t="s">
        <v>671</v>
      </c>
      <c r="C14" s="19" t="s">
        <v>672</v>
      </c>
      <c r="D14" s="19" t="s">
        <v>673</v>
      </c>
      <c r="E14" s="19" t="str">
        <f>"0,9881"</f>
        <v>0,9881</v>
      </c>
      <c r="F14" s="19" t="s">
        <v>13</v>
      </c>
      <c r="G14" s="19" t="s">
        <v>52</v>
      </c>
      <c r="H14" s="22" t="s">
        <v>25</v>
      </c>
      <c r="I14" s="20" t="s">
        <v>25</v>
      </c>
      <c r="J14" s="22" t="s">
        <v>16</v>
      </c>
      <c r="K14" s="21"/>
      <c r="L14" s="21" t="str">
        <f>"70,0"</f>
        <v>70,0</v>
      </c>
      <c r="M14" s="21" t="str">
        <f>"91,4388"</f>
        <v>91,4388</v>
      </c>
      <c r="N14" s="19" t="s">
        <v>674</v>
      </c>
    </row>
    <row r="15" ht="12.75">
      <c r="B15" s="5" t="s">
        <v>29</v>
      </c>
    </row>
    <row r="16" spans="1:13" ht="15">
      <c r="A16" s="49" t="s">
        <v>54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4" ht="12.75">
      <c r="A17" s="14" t="s">
        <v>12</v>
      </c>
      <c r="B17" s="11" t="s">
        <v>675</v>
      </c>
      <c r="C17" s="11" t="s">
        <v>676</v>
      </c>
      <c r="D17" s="11" t="s">
        <v>677</v>
      </c>
      <c r="E17" s="11" t="str">
        <f>"0,7719"</f>
        <v>0,7719</v>
      </c>
      <c r="F17" s="11" t="s">
        <v>13</v>
      </c>
      <c r="G17" s="11" t="s">
        <v>52</v>
      </c>
      <c r="H17" s="13" t="s">
        <v>28</v>
      </c>
      <c r="I17" s="12" t="s">
        <v>174</v>
      </c>
      <c r="J17" s="13" t="s">
        <v>174</v>
      </c>
      <c r="K17" s="14"/>
      <c r="L17" s="14" t="str">
        <f>"112,5"</f>
        <v>112,5</v>
      </c>
      <c r="M17" s="14" t="str">
        <f>"86,8387"</f>
        <v>86,8387</v>
      </c>
      <c r="N17" s="11" t="s">
        <v>47</v>
      </c>
    </row>
    <row r="18" spans="1:14" ht="12.75">
      <c r="A18" s="17" t="s">
        <v>48</v>
      </c>
      <c r="B18" s="15" t="s">
        <v>678</v>
      </c>
      <c r="C18" s="15" t="s">
        <v>679</v>
      </c>
      <c r="D18" s="15" t="s">
        <v>680</v>
      </c>
      <c r="E18" s="15" t="str">
        <f>"0,7983"</f>
        <v>0,7983</v>
      </c>
      <c r="F18" s="15" t="s">
        <v>13</v>
      </c>
      <c r="G18" s="15" t="s">
        <v>681</v>
      </c>
      <c r="H18" s="16" t="s">
        <v>69</v>
      </c>
      <c r="I18" s="16" t="s">
        <v>21</v>
      </c>
      <c r="J18" s="16" t="s">
        <v>49</v>
      </c>
      <c r="K18" s="17"/>
      <c r="L18" s="17" t="str">
        <f>"92,5"</f>
        <v>92,5</v>
      </c>
      <c r="M18" s="17" t="str">
        <f>"73,8428"</f>
        <v>73,8428</v>
      </c>
      <c r="N18" s="15" t="s">
        <v>47</v>
      </c>
    </row>
    <row r="19" spans="1:14" ht="12.75">
      <c r="A19" s="21" t="s">
        <v>12</v>
      </c>
      <c r="B19" s="19" t="s">
        <v>368</v>
      </c>
      <c r="C19" s="19" t="s">
        <v>369</v>
      </c>
      <c r="D19" s="19" t="s">
        <v>212</v>
      </c>
      <c r="E19" s="19" t="str">
        <f>"0,7785"</f>
        <v>0,7785</v>
      </c>
      <c r="F19" s="19" t="s">
        <v>13</v>
      </c>
      <c r="G19" s="19" t="s">
        <v>370</v>
      </c>
      <c r="H19" s="20" t="s">
        <v>73</v>
      </c>
      <c r="I19" s="20" t="s">
        <v>59</v>
      </c>
      <c r="J19" s="22" t="s">
        <v>81</v>
      </c>
      <c r="K19" s="21"/>
      <c r="L19" s="21" t="str">
        <f>"125,0"</f>
        <v>125,0</v>
      </c>
      <c r="M19" s="21" t="str">
        <f>"97,3125"</f>
        <v>97,3125</v>
      </c>
      <c r="N19" s="19" t="s">
        <v>47</v>
      </c>
    </row>
    <row r="20" ht="12.75">
      <c r="B20" s="5" t="s">
        <v>29</v>
      </c>
    </row>
    <row r="21" spans="1:13" ht="15">
      <c r="A21" s="49" t="s">
        <v>82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4" ht="12.75">
      <c r="A22" s="14" t="s">
        <v>12</v>
      </c>
      <c r="B22" s="11" t="s">
        <v>682</v>
      </c>
      <c r="C22" s="11" t="s">
        <v>683</v>
      </c>
      <c r="D22" s="11" t="s">
        <v>205</v>
      </c>
      <c r="E22" s="11" t="str">
        <f>"0,7249"</f>
        <v>0,7249</v>
      </c>
      <c r="F22" s="11" t="s">
        <v>13</v>
      </c>
      <c r="G22" s="11" t="s">
        <v>684</v>
      </c>
      <c r="H22" s="13" t="s">
        <v>174</v>
      </c>
      <c r="I22" s="13" t="s">
        <v>73</v>
      </c>
      <c r="J22" s="12" t="s">
        <v>46</v>
      </c>
      <c r="K22" s="14"/>
      <c r="L22" s="14" t="str">
        <f>"120,0"</f>
        <v>120,0</v>
      </c>
      <c r="M22" s="14" t="str">
        <f>"86,9880"</f>
        <v>86,9880</v>
      </c>
      <c r="N22" s="11" t="s">
        <v>685</v>
      </c>
    </row>
    <row r="23" spans="1:14" ht="12.75">
      <c r="A23" s="21" t="s">
        <v>12</v>
      </c>
      <c r="B23" s="19" t="s">
        <v>686</v>
      </c>
      <c r="C23" s="19" t="s">
        <v>687</v>
      </c>
      <c r="D23" s="19" t="s">
        <v>421</v>
      </c>
      <c r="E23" s="19" t="str">
        <f>"0,7322"</f>
        <v>0,7322</v>
      </c>
      <c r="F23" s="19" t="s">
        <v>13</v>
      </c>
      <c r="G23" s="19" t="s">
        <v>688</v>
      </c>
      <c r="H23" s="20" t="s">
        <v>17</v>
      </c>
      <c r="I23" s="20" t="s">
        <v>21</v>
      </c>
      <c r="J23" s="22" t="s">
        <v>41</v>
      </c>
      <c r="K23" s="21"/>
      <c r="L23" s="21" t="str">
        <f>"87,5"</f>
        <v>87,5</v>
      </c>
      <c r="M23" s="21" t="str">
        <f>"131,9791"</f>
        <v>131,9791</v>
      </c>
      <c r="N23" s="19" t="s">
        <v>47</v>
      </c>
    </row>
    <row r="24" ht="12.75">
      <c r="B24" s="5" t="s">
        <v>29</v>
      </c>
    </row>
    <row r="25" spans="1:13" ht="15">
      <c r="A25" s="49" t="s">
        <v>105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4" ht="12.75">
      <c r="A26" s="14" t="s">
        <v>12</v>
      </c>
      <c r="B26" s="11" t="s">
        <v>689</v>
      </c>
      <c r="C26" s="11" t="s">
        <v>690</v>
      </c>
      <c r="D26" s="11" t="s">
        <v>274</v>
      </c>
      <c r="E26" s="34" t="str">
        <f>"0,6699"</f>
        <v>0,6699</v>
      </c>
      <c r="F26" s="11" t="s">
        <v>61</v>
      </c>
      <c r="G26" s="31" t="s">
        <v>181</v>
      </c>
      <c r="H26" s="38" t="s">
        <v>65</v>
      </c>
      <c r="I26" s="12" t="s">
        <v>87</v>
      </c>
      <c r="J26" s="13" t="s">
        <v>87</v>
      </c>
      <c r="K26" s="14"/>
      <c r="L26" s="14" t="str">
        <f>"225,0"</f>
        <v>225,0</v>
      </c>
      <c r="M26" s="14" t="str">
        <f>"150,7275"</f>
        <v>150,7275</v>
      </c>
      <c r="N26" s="11" t="s">
        <v>47</v>
      </c>
    </row>
    <row r="27" spans="1:14" ht="12.75">
      <c r="A27" s="17" t="s">
        <v>48</v>
      </c>
      <c r="B27" s="15" t="s">
        <v>691</v>
      </c>
      <c r="C27" s="15" t="s">
        <v>692</v>
      </c>
      <c r="D27" s="15" t="s">
        <v>430</v>
      </c>
      <c r="E27" s="35" t="str">
        <f>"0,7086"</f>
        <v>0,7086</v>
      </c>
      <c r="F27" s="15" t="s">
        <v>13</v>
      </c>
      <c r="G27" s="32" t="s">
        <v>461</v>
      </c>
      <c r="H27" s="39" t="s">
        <v>64</v>
      </c>
      <c r="I27" s="16" t="s">
        <v>110</v>
      </c>
      <c r="J27" s="16" t="s">
        <v>65</v>
      </c>
      <c r="K27" s="17"/>
      <c r="L27" s="17" t="str">
        <f>"220,0"</f>
        <v>220,0</v>
      </c>
      <c r="M27" s="17" t="str">
        <f>"155,8920"</f>
        <v>155,8920</v>
      </c>
      <c r="N27" s="15" t="s">
        <v>47</v>
      </c>
    </row>
    <row r="28" spans="1:14" ht="12.75">
      <c r="A28" s="17" t="s">
        <v>50</v>
      </c>
      <c r="B28" s="15" t="s">
        <v>693</v>
      </c>
      <c r="C28" s="15" t="s">
        <v>694</v>
      </c>
      <c r="D28" s="15" t="s">
        <v>695</v>
      </c>
      <c r="E28" s="35" t="str">
        <f>"0,6822"</f>
        <v>0,6822</v>
      </c>
      <c r="F28" s="15" t="s">
        <v>13</v>
      </c>
      <c r="G28" s="32" t="s">
        <v>696</v>
      </c>
      <c r="H28" s="39" t="s">
        <v>216</v>
      </c>
      <c r="I28" s="16" t="s">
        <v>281</v>
      </c>
      <c r="J28" s="16" t="s">
        <v>85</v>
      </c>
      <c r="K28" s="17"/>
      <c r="L28" s="17" t="str">
        <f>"200,0"</f>
        <v>200,0</v>
      </c>
      <c r="M28" s="17" t="str">
        <f>"136,4400"</f>
        <v>136,4400</v>
      </c>
      <c r="N28" s="15" t="s">
        <v>697</v>
      </c>
    </row>
    <row r="29" spans="1:14" ht="12.75">
      <c r="A29" s="17" t="s">
        <v>101</v>
      </c>
      <c r="B29" s="15" t="s">
        <v>698</v>
      </c>
      <c r="C29" s="15" t="s">
        <v>699</v>
      </c>
      <c r="D29" s="15" t="s">
        <v>700</v>
      </c>
      <c r="E29" s="35" t="str">
        <f>"0,7112"</f>
        <v>0,7112</v>
      </c>
      <c r="F29" s="15" t="s">
        <v>13</v>
      </c>
      <c r="G29" s="32" t="s">
        <v>52</v>
      </c>
      <c r="H29" s="37" t="s">
        <v>83</v>
      </c>
      <c r="I29" s="16" t="s">
        <v>83</v>
      </c>
      <c r="J29" s="18" t="s">
        <v>71</v>
      </c>
      <c r="K29" s="17"/>
      <c r="L29" s="17" t="str">
        <f>"150,0"</f>
        <v>150,0</v>
      </c>
      <c r="M29" s="17" t="str">
        <f>"106,6800"</f>
        <v>106,6800</v>
      </c>
      <c r="N29" s="15" t="s">
        <v>47</v>
      </c>
    </row>
    <row r="30" spans="1:14" ht="12.75">
      <c r="A30" s="17" t="s">
        <v>137</v>
      </c>
      <c r="B30" s="15" t="s">
        <v>275</v>
      </c>
      <c r="C30" s="15" t="s">
        <v>276</v>
      </c>
      <c r="D30" s="15" t="s">
        <v>277</v>
      </c>
      <c r="E30" s="35" t="str">
        <f>"0,6744"</f>
        <v>0,6744</v>
      </c>
      <c r="F30" s="15" t="s">
        <v>61</v>
      </c>
      <c r="G30" s="32" t="s">
        <v>181</v>
      </c>
      <c r="H30" s="39" t="s">
        <v>46</v>
      </c>
      <c r="I30" s="16" t="s">
        <v>75</v>
      </c>
      <c r="J30" s="16" t="s">
        <v>83</v>
      </c>
      <c r="K30" s="17"/>
      <c r="L30" s="17" t="str">
        <f>"150,0"</f>
        <v>150,0</v>
      </c>
      <c r="M30" s="17" t="str">
        <f>"101,1600"</f>
        <v>101,1600</v>
      </c>
      <c r="N30" s="15" t="s">
        <v>278</v>
      </c>
    </row>
    <row r="31" spans="1:14" ht="12.75">
      <c r="A31" s="17" t="s">
        <v>12</v>
      </c>
      <c r="B31" s="15" t="s">
        <v>689</v>
      </c>
      <c r="C31" s="15" t="s">
        <v>701</v>
      </c>
      <c r="D31" s="15" t="s">
        <v>274</v>
      </c>
      <c r="E31" s="35" t="str">
        <f>"0,6699"</f>
        <v>0,6699</v>
      </c>
      <c r="F31" s="15" t="s">
        <v>61</v>
      </c>
      <c r="G31" s="32" t="s">
        <v>181</v>
      </c>
      <c r="H31" s="39" t="s">
        <v>65</v>
      </c>
      <c r="I31" s="18" t="s">
        <v>87</v>
      </c>
      <c r="J31" s="16" t="s">
        <v>87</v>
      </c>
      <c r="K31" s="17"/>
      <c r="L31" s="17" t="str">
        <f>"225,0"</f>
        <v>225,0</v>
      </c>
      <c r="M31" s="17" t="str">
        <f>"162,4842"</f>
        <v>162,4842</v>
      </c>
      <c r="N31" s="15" t="s">
        <v>47</v>
      </c>
    </row>
    <row r="32" spans="1:14" ht="12.75">
      <c r="A32" s="17" t="s">
        <v>48</v>
      </c>
      <c r="B32" s="15" t="s">
        <v>691</v>
      </c>
      <c r="C32" s="15" t="s">
        <v>702</v>
      </c>
      <c r="D32" s="15" t="s">
        <v>430</v>
      </c>
      <c r="E32" s="35" t="str">
        <f>"0,7086"</f>
        <v>0,7086</v>
      </c>
      <c r="F32" s="15" t="s">
        <v>13</v>
      </c>
      <c r="G32" s="32" t="s">
        <v>461</v>
      </c>
      <c r="H32" s="39" t="s">
        <v>64</v>
      </c>
      <c r="I32" s="16" t="s">
        <v>110</v>
      </c>
      <c r="J32" s="16" t="s">
        <v>65</v>
      </c>
      <c r="K32" s="17"/>
      <c r="L32" s="17" t="str">
        <f>"220,0"</f>
        <v>220,0</v>
      </c>
      <c r="M32" s="17" t="str">
        <f>"155,8920"</f>
        <v>155,8920</v>
      </c>
      <c r="N32" s="15" t="s">
        <v>47</v>
      </c>
    </row>
    <row r="33" spans="1:14" ht="12.75">
      <c r="A33" s="17" t="s">
        <v>50</v>
      </c>
      <c r="B33" s="15" t="s">
        <v>703</v>
      </c>
      <c r="C33" s="15" t="s">
        <v>704</v>
      </c>
      <c r="D33" s="15" t="s">
        <v>118</v>
      </c>
      <c r="E33" s="35" t="str">
        <f>"0,6779"</f>
        <v>0,6779</v>
      </c>
      <c r="F33" s="15" t="s">
        <v>13</v>
      </c>
      <c r="G33" s="32" t="s">
        <v>52</v>
      </c>
      <c r="H33" s="39" t="s">
        <v>63</v>
      </c>
      <c r="I33" s="18" t="s">
        <v>84</v>
      </c>
      <c r="J33" s="16" t="s">
        <v>84</v>
      </c>
      <c r="K33" s="17"/>
      <c r="L33" s="17" t="str">
        <f>"175,0"</f>
        <v>175,0</v>
      </c>
      <c r="M33" s="17" t="str">
        <f>"121,9542"</f>
        <v>121,9542</v>
      </c>
      <c r="N33" s="15" t="s">
        <v>705</v>
      </c>
    </row>
    <row r="34" spans="1:14" ht="12.75">
      <c r="A34" s="17" t="s">
        <v>101</v>
      </c>
      <c r="B34" s="15" t="s">
        <v>706</v>
      </c>
      <c r="C34" s="15" t="s">
        <v>707</v>
      </c>
      <c r="D34" s="15" t="s">
        <v>115</v>
      </c>
      <c r="E34" s="35" t="str">
        <f>"0,6704"</f>
        <v>0,6704</v>
      </c>
      <c r="F34" s="15" t="s">
        <v>708</v>
      </c>
      <c r="G34" s="32" t="s">
        <v>243</v>
      </c>
      <c r="H34" s="37" t="s">
        <v>83</v>
      </c>
      <c r="I34" s="16" t="s">
        <v>83</v>
      </c>
      <c r="J34" s="17"/>
      <c r="K34" s="17"/>
      <c r="L34" s="17" t="str">
        <f>"150,0"</f>
        <v>150,0</v>
      </c>
      <c r="M34" s="17" t="str">
        <f>"103,3757"</f>
        <v>103,3757</v>
      </c>
      <c r="N34" s="15" t="s">
        <v>47</v>
      </c>
    </row>
    <row r="35" spans="1:14" ht="12.75">
      <c r="A35" s="17" t="s">
        <v>12</v>
      </c>
      <c r="B35" s="15" t="s">
        <v>709</v>
      </c>
      <c r="C35" s="15" t="s">
        <v>710</v>
      </c>
      <c r="D35" s="15" t="s">
        <v>111</v>
      </c>
      <c r="E35" s="35" t="str">
        <f>"0,6734"</f>
        <v>0,6734</v>
      </c>
      <c r="F35" s="15" t="s">
        <v>13</v>
      </c>
      <c r="G35" s="32" t="s">
        <v>711</v>
      </c>
      <c r="H35" s="39" t="s">
        <v>74</v>
      </c>
      <c r="I35" s="16" t="s">
        <v>117</v>
      </c>
      <c r="J35" s="16" t="s">
        <v>75</v>
      </c>
      <c r="K35" s="17"/>
      <c r="L35" s="17" t="str">
        <f>"140,0"</f>
        <v>140,0</v>
      </c>
      <c r="M35" s="17" t="str">
        <f>"120,0133"</f>
        <v>120,0133</v>
      </c>
      <c r="N35" s="15" t="s">
        <v>712</v>
      </c>
    </row>
    <row r="36" spans="1:14" ht="12.75">
      <c r="A36" s="21" t="s">
        <v>12</v>
      </c>
      <c r="B36" s="19" t="s">
        <v>713</v>
      </c>
      <c r="C36" s="19" t="s">
        <v>714</v>
      </c>
      <c r="D36" s="19" t="s">
        <v>715</v>
      </c>
      <c r="E36" s="36" t="str">
        <f>"0,6951"</f>
        <v>0,6951</v>
      </c>
      <c r="F36" s="19" t="s">
        <v>716</v>
      </c>
      <c r="G36" s="33" t="s">
        <v>717</v>
      </c>
      <c r="H36" s="42" t="s">
        <v>41</v>
      </c>
      <c r="I36" s="22" t="s">
        <v>23</v>
      </c>
      <c r="J36" s="20" t="s">
        <v>23</v>
      </c>
      <c r="K36" s="21"/>
      <c r="L36" s="21" t="str">
        <f>"100,0"</f>
        <v>100,0</v>
      </c>
      <c r="M36" s="21" t="str">
        <f>"106,5588"</f>
        <v>106,5588</v>
      </c>
      <c r="N36" s="19" t="s">
        <v>718</v>
      </c>
    </row>
    <row r="37" ht="12.75">
      <c r="B37" s="5" t="s">
        <v>29</v>
      </c>
    </row>
    <row r="38" spans="1:13" ht="15">
      <c r="A38" s="49" t="s">
        <v>120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4" ht="12.75">
      <c r="A39" s="14" t="s">
        <v>12</v>
      </c>
      <c r="B39" s="11" t="s">
        <v>719</v>
      </c>
      <c r="C39" s="11" t="s">
        <v>720</v>
      </c>
      <c r="D39" s="11" t="s">
        <v>721</v>
      </c>
      <c r="E39" s="11" t="str">
        <f>"0,6553"</f>
        <v>0,6553</v>
      </c>
      <c r="F39" s="11" t="s">
        <v>13</v>
      </c>
      <c r="G39" s="11" t="s">
        <v>52</v>
      </c>
      <c r="H39" s="13" t="s">
        <v>70</v>
      </c>
      <c r="I39" s="13" t="s">
        <v>133</v>
      </c>
      <c r="J39" s="13" t="s">
        <v>71</v>
      </c>
      <c r="K39" s="14"/>
      <c r="L39" s="14" t="str">
        <f>"165,0"</f>
        <v>165,0</v>
      </c>
      <c r="M39" s="14" t="str">
        <f>"108,1245"</f>
        <v>108,1245</v>
      </c>
      <c r="N39" s="11" t="s">
        <v>47</v>
      </c>
    </row>
    <row r="40" spans="1:14" ht="12.75">
      <c r="A40" s="17" t="s">
        <v>12</v>
      </c>
      <c r="B40" s="15" t="s">
        <v>722</v>
      </c>
      <c r="C40" s="15" t="s">
        <v>723</v>
      </c>
      <c r="D40" s="15" t="s">
        <v>514</v>
      </c>
      <c r="E40" s="15" t="str">
        <f>"0,6410"</f>
        <v>0,6410</v>
      </c>
      <c r="F40" s="15" t="s">
        <v>13</v>
      </c>
      <c r="G40" s="15" t="s">
        <v>724</v>
      </c>
      <c r="H40" s="16" t="s">
        <v>125</v>
      </c>
      <c r="I40" s="16" t="s">
        <v>725</v>
      </c>
      <c r="J40" s="16" t="s">
        <v>726</v>
      </c>
      <c r="K40" s="18" t="s">
        <v>143</v>
      </c>
      <c r="L40" s="17" t="str">
        <f>"272,5"</f>
        <v>272,5</v>
      </c>
      <c r="M40" s="17" t="str">
        <f>"174,6725"</f>
        <v>174,6725</v>
      </c>
      <c r="N40" s="15" t="s">
        <v>47</v>
      </c>
    </row>
    <row r="41" spans="1:14" ht="12.75">
      <c r="A41" s="17" t="s">
        <v>48</v>
      </c>
      <c r="B41" s="15" t="s">
        <v>727</v>
      </c>
      <c r="C41" s="15" t="s">
        <v>728</v>
      </c>
      <c r="D41" s="15" t="s">
        <v>729</v>
      </c>
      <c r="E41" s="15" t="str">
        <f>"0,6384"</f>
        <v>0,6384</v>
      </c>
      <c r="F41" s="15" t="s">
        <v>13</v>
      </c>
      <c r="G41" s="15" t="s">
        <v>730</v>
      </c>
      <c r="H41" s="16" t="s">
        <v>100</v>
      </c>
      <c r="I41" s="18" t="s">
        <v>198</v>
      </c>
      <c r="J41" s="17"/>
      <c r="K41" s="17"/>
      <c r="L41" s="17" t="str">
        <f>"255,0"</f>
        <v>255,0</v>
      </c>
      <c r="M41" s="17" t="str">
        <f>"162,7920"</f>
        <v>162,7920</v>
      </c>
      <c r="N41" s="15" t="s">
        <v>731</v>
      </c>
    </row>
    <row r="42" spans="1:14" ht="12.75">
      <c r="A42" s="17" t="s">
        <v>50</v>
      </c>
      <c r="B42" s="15" t="s">
        <v>732</v>
      </c>
      <c r="C42" s="15" t="s">
        <v>733</v>
      </c>
      <c r="D42" s="15" t="s">
        <v>729</v>
      </c>
      <c r="E42" s="15" t="str">
        <f>"0,6384"</f>
        <v>0,6384</v>
      </c>
      <c r="F42" s="15" t="s">
        <v>716</v>
      </c>
      <c r="G42" s="15" t="s">
        <v>717</v>
      </c>
      <c r="H42" s="18" t="s">
        <v>124</v>
      </c>
      <c r="I42" s="16" t="s">
        <v>124</v>
      </c>
      <c r="J42" s="18" t="s">
        <v>191</v>
      </c>
      <c r="K42" s="17"/>
      <c r="L42" s="17" t="str">
        <f>"240,0"</f>
        <v>240,0</v>
      </c>
      <c r="M42" s="17" t="str">
        <f>"153,2160"</f>
        <v>153,2160</v>
      </c>
      <c r="N42" s="15" t="s">
        <v>47</v>
      </c>
    </row>
    <row r="43" spans="1:14" ht="12.75">
      <c r="A43" s="17" t="s">
        <v>101</v>
      </c>
      <c r="B43" s="15" t="s">
        <v>734</v>
      </c>
      <c r="C43" s="15" t="s">
        <v>735</v>
      </c>
      <c r="D43" s="15" t="s">
        <v>514</v>
      </c>
      <c r="E43" s="15" t="str">
        <f>"0,6410"</f>
        <v>0,6410</v>
      </c>
      <c r="F43" s="15" t="s">
        <v>13</v>
      </c>
      <c r="G43" s="15" t="s">
        <v>270</v>
      </c>
      <c r="H43" s="16" t="s">
        <v>86</v>
      </c>
      <c r="I43" s="18" t="s">
        <v>87</v>
      </c>
      <c r="J43" s="18" t="s">
        <v>87</v>
      </c>
      <c r="K43" s="17"/>
      <c r="L43" s="17" t="str">
        <f>"210,0"</f>
        <v>210,0</v>
      </c>
      <c r="M43" s="17" t="str">
        <f>"134,6100"</f>
        <v>134,6100</v>
      </c>
      <c r="N43" s="15" t="s">
        <v>736</v>
      </c>
    </row>
    <row r="44" spans="1:14" ht="12.75">
      <c r="A44" s="17" t="s">
        <v>137</v>
      </c>
      <c r="B44" s="15" t="s">
        <v>737</v>
      </c>
      <c r="C44" s="15" t="s">
        <v>738</v>
      </c>
      <c r="D44" s="15" t="s">
        <v>136</v>
      </c>
      <c r="E44" s="35" t="str">
        <f>"0,6424"</f>
        <v>0,6424</v>
      </c>
      <c r="F44" s="35" t="s">
        <v>708</v>
      </c>
      <c r="G44" s="35" t="s">
        <v>739</v>
      </c>
      <c r="H44" s="18" t="s">
        <v>78</v>
      </c>
      <c r="I44" s="16" t="s">
        <v>78</v>
      </c>
      <c r="J44" s="18" t="s">
        <v>85</v>
      </c>
      <c r="K44" s="17"/>
      <c r="L44" s="17" t="str">
        <f>"190,0"</f>
        <v>190,0</v>
      </c>
      <c r="M44" s="17" t="str">
        <f>"122,0560"</f>
        <v>122,0560</v>
      </c>
      <c r="N44" s="15" t="s">
        <v>47</v>
      </c>
    </row>
    <row r="45" spans="1:14" ht="12.75">
      <c r="A45" s="17" t="s">
        <v>139</v>
      </c>
      <c r="B45" s="15" t="s">
        <v>740</v>
      </c>
      <c r="C45" s="15" t="s">
        <v>741</v>
      </c>
      <c r="D45" s="15" t="s">
        <v>742</v>
      </c>
      <c r="E45" s="15" t="str">
        <f>"0,6451"</f>
        <v>0,6451</v>
      </c>
      <c r="F45" s="15" t="s">
        <v>13</v>
      </c>
      <c r="G45" s="15" t="s">
        <v>241</v>
      </c>
      <c r="H45" s="16" t="s">
        <v>84</v>
      </c>
      <c r="I45" s="18" t="s">
        <v>77</v>
      </c>
      <c r="J45" s="18" t="s">
        <v>77</v>
      </c>
      <c r="K45" s="17"/>
      <c r="L45" s="17" t="str">
        <f>"175,0"</f>
        <v>175,0</v>
      </c>
      <c r="M45" s="17" t="str">
        <f>"112,8925"</f>
        <v>112,8925</v>
      </c>
      <c r="N45" s="15" t="s">
        <v>743</v>
      </c>
    </row>
    <row r="46" spans="1:14" ht="12.75">
      <c r="A46" s="17" t="s">
        <v>140</v>
      </c>
      <c r="B46" s="15" t="s">
        <v>744</v>
      </c>
      <c r="C46" s="15" t="s">
        <v>745</v>
      </c>
      <c r="D46" s="15" t="s">
        <v>746</v>
      </c>
      <c r="E46" s="15" t="str">
        <f>"0,6428"</f>
        <v>0,6428</v>
      </c>
      <c r="F46" s="15" t="s">
        <v>13</v>
      </c>
      <c r="G46" s="15" t="s">
        <v>747</v>
      </c>
      <c r="H46" s="16" t="s">
        <v>62</v>
      </c>
      <c r="I46" s="18" t="s">
        <v>71</v>
      </c>
      <c r="J46" s="18" t="s">
        <v>112</v>
      </c>
      <c r="K46" s="17"/>
      <c r="L46" s="17" t="str">
        <f>"160,0"</f>
        <v>160,0</v>
      </c>
      <c r="M46" s="17" t="str">
        <f>"102,8480"</f>
        <v>102,8480</v>
      </c>
      <c r="N46" s="15" t="s">
        <v>748</v>
      </c>
    </row>
    <row r="47" spans="1:14" ht="12.75">
      <c r="A47" s="17" t="s">
        <v>12</v>
      </c>
      <c r="B47" s="15" t="s">
        <v>749</v>
      </c>
      <c r="C47" s="15" t="s">
        <v>750</v>
      </c>
      <c r="D47" s="15" t="s">
        <v>501</v>
      </c>
      <c r="E47" s="15" t="str">
        <f>"0,6495"</f>
        <v>0,6495</v>
      </c>
      <c r="F47" s="15" t="s">
        <v>13</v>
      </c>
      <c r="G47" s="15" t="s">
        <v>218</v>
      </c>
      <c r="H47" s="16" t="s">
        <v>46</v>
      </c>
      <c r="I47" s="16" t="s">
        <v>117</v>
      </c>
      <c r="J47" s="18" t="s">
        <v>75</v>
      </c>
      <c r="K47" s="17"/>
      <c r="L47" s="17" t="str">
        <f>"137,5"</f>
        <v>137,5</v>
      </c>
      <c r="M47" s="17" t="str">
        <f>"99,4872"</f>
        <v>99,4872</v>
      </c>
      <c r="N47" s="15" t="s">
        <v>751</v>
      </c>
    </row>
    <row r="48" spans="1:14" ht="12.75">
      <c r="A48" s="17" t="s">
        <v>12</v>
      </c>
      <c r="B48" s="15" t="s">
        <v>752</v>
      </c>
      <c r="C48" s="15" t="s">
        <v>753</v>
      </c>
      <c r="D48" s="15" t="s">
        <v>230</v>
      </c>
      <c r="E48" s="15" t="str">
        <f>"0,6436"</f>
        <v>0,6436</v>
      </c>
      <c r="F48" s="15" t="s">
        <v>13</v>
      </c>
      <c r="G48" s="15" t="s">
        <v>247</v>
      </c>
      <c r="H48" s="16" t="s">
        <v>56</v>
      </c>
      <c r="I48" s="16" t="s">
        <v>75</v>
      </c>
      <c r="J48" s="16" t="s">
        <v>60</v>
      </c>
      <c r="K48" s="17"/>
      <c r="L48" s="17" t="str">
        <f>"142,5"</f>
        <v>142,5</v>
      </c>
      <c r="M48" s="17" t="str">
        <f>"114,6412"</f>
        <v>114,6412</v>
      </c>
      <c r="N48" s="15" t="s">
        <v>47</v>
      </c>
    </row>
    <row r="49" spans="1:14" ht="12.75">
      <c r="A49" s="21" t="s">
        <v>12</v>
      </c>
      <c r="B49" s="19" t="s">
        <v>754</v>
      </c>
      <c r="C49" s="19" t="s">
        <v>755</v>
      </c>
      <c r="D49" s="19" t="s">
        <v>742</v>
      </c>
      <c r="E49" s="19" t="str">
        <f>"0,6451"</f>
        <v>0,6451</v>
      </c>
      <c r="F49" s="19" t="s">
        <v>13</v>
      </c>
      <c r="G49" s="19" t="s">
        <v>52</v>
      </c>
      <c r="H49" s="20" t="s">
        <v>41</v>
      </c>
      <c r="I49" s="20" t="s">
        <v>22</v>
      </c>
      <c r="J49" s="20" t="s">
        <v>23</v>
      </c>
      <c r="K49" s="21"/>
      <c r="L49" s="21" t="str">
        <f>"100,0"</f>
        <v>100,0</v>
      </c>
      <c r="M49" s="21" t="str">
        <f>"89,0238"</f>
        <v>89,0238</v>
      </c>
      <c r="N49" s="19" t="s">
        <v>169</v>
      </c>
    </row>
    <row r="50" ht="12.75">
      <c r="B50" s="5" t="s">
        <v>29</v>
      </c>
    </row>
    <row r="51" spans="1:13" ht="15">
      <c r="A51" s="49" t="s">
        <v>141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4" ht="12.75">
      <c r="A52" s="14" t="s">
        <v>12</v>
      </c>
      <c r="B52" s="11" t="s">
        <v>756</v>
      </c>
      <c r="C52" s="11" t="s">
        <v>757</v>
      </c>
      <c r="D52" s="11" t="s">
        <v>579</v>
      </c>
      <c r="E52" s="11" t="str">
        <f>"0,6126"</f>
        <v>0,6126</v>
      </c>
      <c r="F52" s="11" t="s">
        <v>61</v>
      </c>
      <c r="G52" s="11" t="s">
        <v>181</v>
      </c>
      <c r="H52" s="13" t="s">
        <v>86</v>
      </c>
      <c r="I52" s="13" t="s">
        <v>98</v>
      </c>
      <c r="J52" s="12" t="s">
        <v>87</v>
      </c>
      <c r="K52" s="14"/>
      <c r="L52" s="14" t="str">
        <f>"217,5"</f>
        <v>217,5</v>
      </c>
      <c r="M52" s="14" t="str">
        <f>"133,2405"</f>
        <v>133,2405</v>
      </c>
      <c r="N52" s="11" t="s">
        <v>66</v>
      </c>
    </row>
    <row r="53" spans="1:14" ht="12.75">
      <c r="A53" s="17" t="s">
        <v>48</v>
      </c>
      <c r="B53" s="15" t="s">
        <v>238</v>
      </c>
      <c r="C53" s="15" t="s">
        <v>239</v>
      </c>
      <c r="D53" s="15" t="s">
        <v>240</v>
      </c>
      <c r="E53" s="15" t="str">
        <f>"0,6134"</f>
        <v>0,6134</v>
      </c>
      <c r="F53" s="15" t="s">
        <v>13</v>
      </c>
      <c r="G53" s="15" t="s">
        <v>218</v>
      </c>
      <c r="H53" s="16" t="s">
        <v>78</v>
      </c>
      <c r="I53" s="18" t="s">
        <v>85</v>
      </c>
      <c r="J53" s="16" t="s">
        <v>85</v>
      </c>
      <c r="K53" s="17"/>
      <c r="L53" s="17" t="str">
        <f>"200,0"</f>
        <v>200,0</v>
      </c>
      <c r="M53" s="17" t="str">
        <f>"122,6800"</f>
        <v>122,6800</v>
      </c>
      <c r="N53" s="15" t="s">
        <v>47</v>
      </c>
    </row>
    <row r="54" spans="1:14" ht="12.75">
      <c r="A54" s="17" t="s">
        <v>50</v>
      </c>
      <c r="B54" s="15" t="s">
        <v>758</v>
      </c>
      <c r="C54" s="15" t="s">
        <v>759</v>
      </c>
      <c r="D54" s="15" t="s">
        <v>760</v>
      </c>
      <c r="E54" s="15" t="str">
        <f>"0,6098"</f>
        <v>0,6098</v>
      </c>
      <c r="F54" s="15" t="s">
        <v>761</v>
      </c>
      <c r="G54" s="15" t="s">
        <v>762</v>
      </c>
      <c r="H54" s="16" t="s">
        <v>78</v>
      </c>
      <c r="I54" s="16" t="s">
        <v>85</v>
      </c>
      <c r="J54" s="18" t="s">
        <v>86</v>
      </c>
      <c r="K54" s="17"/>
      <c r="L54" s="17" t="str">
        <f>"200,0"</f>
        <v>200,0</v>
      </c>
      <c r="M54" s="17" t="str">
        <f>"121,9600"</f>
        <v>121,9600</v>
      </c>
      <c r="N54" s="15" t="s">
        <v>47</v>
      </c>
    </row>
    <row r="55" spans="1:14" ht="12.75">
      <c r="A55" s="17" t="s">
        <v>101</v>
      </c>
      <c r="B55" s="15" t="s">
        <v>763</v>
      </c>
      <c r="C55" s="15" t="s">
        <v>764</v>
      </c>
      <c r="D55" s="15" t="s">
        <v>572</v>
      </c>
      <c r="E55" s="15" t="str">
        <f>"0,6131"</f>
        <v>0,6131</v>
      </c>
      <c r="F55" s="15" t="s">
        <v>13</v>
      </c>
      <c r="G55" s="15" t="s">
        <v>177</v>
      </c>
      <c r="H55" s="16" t="s">
        <v>93</v>
      </c>
      <c r="I55" s="18" t="s">
        <v>765</v>
      </c>
      <c r="J55" s="18" t="s">
        <v>765</v>
      </c>
      <c r="K55" s="17"/>
      <c r="L55" s="17" t="str">
        <f>"195,0"</f>
        <v>195,0</v>
      </c>
      <c r="M55" s="17" t="str">
        <f>"119,5545"</f>
        <v>119,5545</v>
      </c>
      <c r="N55" s="15" t="s">
        <v>47</v>
      </c>
    </row>
    <row r="56" spans="1:14" ht="12.75">
      <c r="A56" s="17" t="s">
        <v>137</v>
      </c>
      <c r="B56" s="15" t="s">
        <v>766</v>
      </c>
      <c r="C56" s="15" t="s">
        <v>767</v>
      </c>
      <c r="D56" s="15" t="s">
        <v>768</v>
      </c>
      <c r="E56" s="15" t="str">
        <f>"0,6211"</f>
        <v>0,6211</v>
      </c>
      <c r="F56" s="15" t="s">
        <v>13</v>
      </c>
      <c r="G56" s="15" t="s">
        <v>52</v>
      </c>
      <c r="H56" s="16" t="s">
        <v>84</v>
      </c>
      <c r="I56" s="16" t="s">
        <v>96</v>
      </c>
      <c r="J56" s="18" t="s">
        <v>769</v>
      </c>
      <c r="K56" s="17"/>
      <c r="L56" s="17" t="str">
        <f>"185,0"</f>
        <v>185,0</v>
      </c>
      <c r="M56" s="17" t="str">
        <f>"114,9035"</f>
        <v>114,9035</v>
      </c>
      <c r="N56" s="15" t="s">
        <v>47</v>
      </c>
    </row>
    <row r="57" spans="1:14" ht="12.75">
      <c r="A57" s="17" t="s">
        <v>139</v>
      </c>
      <c r="B57" s="15" t="s">
        <v>770</v>
      </c>
      <c r="C57" s="15" t="s">
        <v>239</v>
      </c>
      <c r="D57" s="15" t="s">
        <v>263</v>
      </c>
      <c r="E57" s="15" t="str">
        <f>"0,6166"</f>
        <v>0,6166</v>
      </c>
      <c r="F57" s="15" t="s">
        <v>13</v>
      </c>
      <c r="G57" s="15" t="s">
        <v>306</v>
      </c>
      <c r="H57" s="16" t="s">
        <v>77</v>
      </c>
      <c r="I57" s="16" t="s">
        <v>96</v>
      </c>
      <c r="J57" s="18" t="s">
        <v>78</v>
      </c>
      <c r="K57" s="17"/>
      <c r="L57" s="17" t="str">
        <f>"185,0"</f>
        <v>185,0</v>
      </c>
      <c r="M57" s="17" t="str">
        <f>"114,0710"</f>
        <v>114,0710</v>
      </c>
      <c r="N57" s="15" t="s">
        <v>771</v>
      </c>
    </row>
    <row r="58" spans="1:14" ht="12.75">
      <c r="A58" s="17" t="s">
        <v>140</v>
      </c>
      <c r="B58" s="15" t="s">
        <v>772</v>
      </c>
      <c r="C58" s="15" t="s">
        <v>773</v>
      </c>
      <c r="D58" s="15" t="s">
        <v>774</v>
      </c>
      <c r="E58" s="15" t="str">
        <f>"0,6161"</f>
        <v>0,6161</v>
      </c>
      <c r="F58" s="15" t="s">
        <v>13</v>
      </c>
      <c r="G58" s="15" t="s">
        <v>52</v>
      </c>
      <c r="H58" s="16" t="s">
        <v>84</v>
      </c>
      <c r="I58" s="16" t="s">
        <v>77</v>
      </c>
      <c r="J58" s="16" t="s">
        <v>96</v>
      </c>
      <c r="K58" s="17"/>
      <c r="L58" s="17" t="str">
        <f>"185,0"</f>
        <v>185,0</v>
      </c>
      <c r="M58" s="17" t="str">
        <f>"113,9785"</f>
        <v>113,9785</v>
      </c>
      <c r="N58" s="15" t="s">
        <v>47</v>
      </c>
    </row>
    <row r="59" spans="1:14" ht="12.75">
      <c r="A59" s="17" t="s">
        <v>450</v>
      </c>
      <c r="B59" s="15" t="s">
        <v>775</v>
      </c>
      <c r="C59" s="15" t="s">
        <v>776</v>
      </c>
      <c r="D59" s="15" t="s">
        <v>220</v>
      </c>
      <c r="E59" s="15" t="str">
        <f>"0,6188"</f>
        <v>0,6188</v>
      </c>
      <c r="F59" s="15" t="s">
        <v>13</v>
      </c>
      <c r="G59" s="15" t="s">
        <v>52</v>
      </c>
      <c r="H59" s="16" t="s">
        <v>83</v>
      </c>
      <c r="I59" s="18" t="s">
        <v>62</v>
      </c>
      <c r="J59" s="18" t="s">
        <v>62</v>
      </c>
      <c r="K59" s="17"/>
      <c r="L59" s="17" t="str">
        <f>"150,0"</f>
        <v>150,0</v>
      </c>
      <c r="M59" s="17" t="str">
        <f>"92,8200"</f>
        <v>92,8200</v>
      </c>
      <c r="N59" s="15" t="s">
        <v>777</v>
      </c>
    </row>
    <row r="60" spans="1:14" ht="12.75">
      <c r="A60" s="17" t="s">
        <v>12</v>
      </c>
      <c r="B60" s="15" t="s">
        <v>778</v>
      </c>
      <c r="C60" s="15" t="s">
        <v>779</v>
      </c>
      <c r="D60" s="15" t="s">
        <v>780</v>
      </c>
      <c r="E60" s="15" t="str">
        <f>"0,6220"</f>
        <v>0,6220</v>
      </c>
      <c r="F60" s="15" t="s">
        <v>13</v>
      </c>
      <c r="G60" s="15" t="s">
        <v>52</v>
      </c>
      <c r="H60" s="16" t="s">
        <v>93</v>
      </c>
      <c r="I60" s="18" t="s">
        <v>85</v>
      </c>
      <c r="J60" s="18" t="s">
        <v>85</v>
      </c>
      <c r="K60" s="17"/>
      <c r="L60" s="17" t="str">
        <f>"195,0"</f>
        <v>195,0</v>
      </c>
      <c r="M60" s="17" t="str">
        <f>"122,9881"</f>
        <v>122,9881</v>
      </c>
      <c r="N60" s="15" t="s">
        <v>47</v>
      </c>
    </row>
    <row r="61" spans="1:14" ht="12.75">
      <c r="A61" s="17" t="s">
        <v>48</v>
      </c>
      <c r="B61" s="15" t="s">
        <v>763</v>
      </c>
      <c r="C61" s="15" t="s">
        <v>781</v>
      </c>
      <c r="D61" s="15" t="s">
        <v>572</v>
      </c>
      <c r="E61" s="15" t="str">
        <f>"0,6131"</f>
        <v>0,6131</v>
      </c>
      <c r="F61" s="15" t="s">
        <v>13</v>
      </c>
      <c r="G61" s="15" t="s">
        <v>177</v>
      </c>
      <c r="H61" s="16" t="s">
        <v>93</v>
      </c>
      <c r="I61" s="18" t="s">
        <v>765</v>
      </c>
      <c r="J61" s="18" t="s">
        <v>765</v>
      </c>
      <c r="K61" s="17"/>
      <c r="L61" s="17" t="str">
        <f>"195,0"</f>
        <v>195,0</v>
      </c>
      <c r="M61" s="17" t="str">
        <f>"126,7278"</f>
        <v>126,7278</v>
      </c>
      <c r="N61" s="15" t="s">
        <v>47</v>
      </c>
    </row>
    <row r="62" spans="1:14" ht="12.75">
      <c r="A62" s="17" t="s">
        <v>50</v>
      </c>
      <c r="B62" s="15" t="s">
        <v>782</v>
      </c>
      <c r="C62" s="15" t="s">
        <v>783</v>
      </c>
      <c r="D62" s="15" t="s">
        <v>235</v>
      </c>
      <c r="E62" s="15" t="str">
        <f>"0,6096"</f>
        <v>0,6096</v>
      </c>
      <c r="F62" s="15" t="s">
        <v>13</v>
      </c>
      <c r="G62" s="15" t="s">
        <v>260</v>
      </c>
      <c r="H62" s="16" t="s">
        <v>62</v>
      </c>
      <c r="I62" s="16" t="s">
        <v>63</v>
      </c>
      <c r="J62" s="18" t="s">
        <v>114</v>
      </c>
      <c r="K62" s="17"/>
      <c r="L62" s="17" t="str">
        <f>"170,0"</f>
        <v>170,0</v>
      </c>
      <c r="M62" s="17" t="str">
        <f>"111,7153"</f>
        <v>111,7153</v>
      </c>
      <c r="N62" s="15" t="s">
        <v>47</v>
      </c>
    </row>
    <row r="63" spans="1:14" ht="12.75">
      <c r="A63" s="21" t="s">
        <v>12</v>
      </c>
      <c r="B63" s="19" t="s">
        <v>784</v>
      </c>
      <c r="C63" s="19" t="s">
        <v>785</v>
      </c>
      <c r="D63" s="19" t="s">
        <v>786</v>
      </c>
      <c r="E63" s="19" t="str">
        <f>"0,6257"</f>
        <v>0,6257</v>
      </c>
      <c r="F63" s="19" t="s">
        <v>13</v>
      </c>
      <c r="G63" s="19" t="s">
        <v>787</v>
      </c>
      <c r="H63" s="20" t="s">
        <v>148</v>
      </c>
      <c r="I63" s="20" t="s">
        <v>189</v>
      </c>
      <c r="J63" s="22" t="s">
        <v>62</v>
      </c>
      <c r="K63" s="21"/>
      <c r="L63" s="21" t="str">
        <f>"157,5"</f>
        <v>157,5</v>
      </c>
      <c r="M63" s="21" t="str">
        <f>"154,2272"</f>
        <v>154,2272</v>
      </c>
      <c r="N63" s="19" t="s">
        <v>47</v>
      </c>
    </row>
    <row r="64" ht="12.75">
      <c r="B64" s="5" t="s">
        <v>29</v>
      </c>
    </row>
    <row r="65" spans="1:13" ht="15">
      <c r="A65" s="49" t="s">
        <v>149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4" ht="12.75">
      <c r="A66" s="14" t="s">
        <v>12</v>
      </c>
      <c r="B66" s="11" t="s">
        <v>788</v>
      </c>
      <c r="C66" s="11" t="s">
        <v>789</v>
      </c>
      <c r="D66" s="11" t="s">
        <v>790</v>
      </c>
      <c r="E66" s="11" t="str">
        <f>"0,5905"</f>
        <v>0,5905</v>
      </c>
      <c r="F66" s="11" t="s">
        <v>13</v>
      </c>
      <c r="G66" s="11" t="s">
        <v>52</v>
      </c>
      <c r="H66" s="13" t="s">
        <v>78</v>
      </c>
      <c r="I66" s="13" t="s">
        <v>85</v>
      </c>
      <c r="J66" s="13" t="s">
        <v>86</v>
      </c>
      <c r="K66" s="14"/>
      <c r="L66" s="14" t="str">
        <f>"210,0"</f>
        <v>210,0</v>
      </c>
      <c r="M66" s="14" t="str">
        <f>"124,0050"</f>
        <v>124,0050</v>
      </c>
      <c r="N66" s="11" t="s">
        <v>47</v>
      </c>
    </row>
    <row r="67" spans="1:14" ht="12.75">
      <c r="A67" s="17" t="s">
        <v>48</v>
      </c>
      <c r="B67" s="15" t="s">
        <v>791</v>
      </c>
      <c r="C67" s="15" t="s">
        <v>792</v>
      </c>
      <c r="D67" s="15" t="s">
        <v>793</v>
      </c>
      <c r="E67" s="15" t="str">
        <f>"0,5976"</f>
        <v>0,5976</v>
      </c>
      <c r="F67" s="15" t="s">
        <v>13</v>
      </c>
      <c r="G67" s="15" t="s">
        <v>794</v>
      </c>
      <c r="H67" s="16" t="s">
        <v>70</v>
      </c>
      <c r="I67" s="16" t="s">
        <v>71</v>
      </c>
      <c r="J67" s="16" t="s">
        <v>63</v>
      </c>
      <c r="K67" s="17"/>
      <c r="L67" s="17" t="str">
        <f>"170,0"</f>
        <v>170,0</v>
      </c>
      <c r="M67" s="17" t="str">
        <f>"101,5920"</f>
        <v>101,5920</v>
      </c>
      <c r="N67" s="15" t="s">
        <v>47</v>
      </c>
    </row>
    <row r="68" spans="1:14" ht="12.75">
      <c r="A68" s="17" t="s">
        <v>12</v>
      </c>
      <c r="B68" s="15" t="s">
        <v>795</v>
      </c>
      <c r="C68" s="15" t="s">
        <v>796</v>
      </c>
      <c r="D68" s="15" t="s">
        <v>597</v>
      </c>
      <c r="E68" s="15" t="str">
        <f>"0,5928"</f>
        <v>0,5928</v>
      </c>
      <c r="F68" s="15" t="s">
        <v>13</v>
      </c>
      <c r="G68" s="15" t="s">
        <v>52</v>
      </c>
      <c r="H68" s="16" t="s">
        <v>86</v>
      </c>
      <c r="I68" s="16" t="s">
        <v>110</v>
      </c>
      <c r="J68" s="16" t="s">
        <v>98</v>
      </c>
      <c r="K68" s="17"/>
      <c r="L68" s="17" t="str">
        <f>"217,5"</f>
        <v>217,5</v>
      </c>
      <c r="M68" s="17" t="str">
        <f>"128,9340"</f>
        <v>128,9340</v>
      </c>
      <c r="N68" s="15" t="s">
        <v>47</v>
      </c>
    </row>
    <row r="69" spans="1:14" ht="12.75">
      <c r="A69" s="17" t="s">
        <v>48</v>
      </c>
      <c r="B69" s="15" t="s">
        <v>797</v>
      </c>
      <c r="C69" s="15" t="s">
        <v>798</v>
      </c>
      <c r="D69" s="15" t="s">
        <v>799</v>
      </c>
      <c r="E69" s="15" t="str">
        <f>"0,5937"</f>
        <v>0,5937</v>
      </c>
      <c r="F69" s="15" t="s">
        <v>13</v>
      </c>
      <c r="G69" s="15" t="s">
        <v>52</v>
      </c>
      <c r="H69" s="16" t="s">
        <v>86</v>
      </c>
      <c r="I69" s="18" t="s">
        <v>94</v>
      </c>
      <c r="J69" s="18" t="s">
        <v>94</v>
      </c>
      <c r="K69" s="17"/>
      <c r="L69" s="17" t="str">
        <f>"210,0"</f>
        <v>210,0</v>
      </c>
      <c r="M69" s="17" t="str">
        <f>"124,6770"</f>
        <v>124,6770</v>
      </c>
      <c r="N69" s="15" t="s">
        <v>697</v>
      </c>
    </row>
    <row r="70" spans="1:14" ht="12.75">
      <c r="A70" s="17" t="s">
        <v>50</v>
      </c>
      <c r="B70" s="15" t="s">
        <v>800</v>
      </c>
      <c r="C70" s="15" t="s">
        <v>801</v>
      </c>
      <c r="D70" s="15" t="s">
        <v>802</v>
      </c>
      <c r="E70" s="15" t="str">
        <f>"0,5970"</f>
        <v>0,5970</v>
      </c>
      <c r="F70" s="15" t="s">
        <v>708</v>
      </c>
      <c r="G70" s="15" t="s">
        <v>208</v>
      </c>
      <c r="H70" s="16" t="s">
        <v>85</v>
      </c>
      <c r="I70" s="16" t="s">
        <v>175</v>
      </c>
      <c r="J70" s="18" t="s">
        <v>86</v>
      </c>
      <c r="K70" s="17"/>
      <c r="L70" s="17" t="str">
        <f>"207,5"</f>
        <v>207,5</v>
      </c>
      <c r="M70" s="17" t="str">
        <f>"123,8775"</f>
        <v>123,8775</v>
      </c>
      <c r="N70" s="15" t="s">
        <v>209</v>
      </c>
    </row>
    <row r="71" spans="1:14" ht="12.75">
      <c r="A71" s="17" t="s">
        <v>101</v>
      </c>
      <c r="B71" s="15" t="s">
        <v>803</v>
      </c>
      <c r="C71" s="15" t="s">
        <v>804</v>
      </c>
      <c r="D71" s="15" t="s">
        <v>805</v>
      </c>
      <c r="E71" s="15" t="str">
        <f>"0,5890"</f>
        <v>0,5890</v>
      </c>
      <c r="F71" s="15" t="s">
        <v>13</v>
      </c>
      <c r="G71" s="15" t="s">
        <v>206</v>
      </c>
      <c r="H71" s="16" t="s">
        <v>216</v>
      </c>
      <c r="I71" s="16" t="s">
        <v>85</v>
      </c>
      <c r="J71" s="18" t="s">
        <v>86</v>
      </c>
      <c r="K71" s="17"/>
      <c r="L71" s="17" t="str">
        <f>"200,0"</f>
        <v>200,0</v>
      </c>
      <c r="M71" s="17" t="str">
        <f>"117,8000"</f>
        <v>117,8000</v>
      </c>
      <c r="N71" s="15" t="s">
        <v>47</v>
      </c>
    </row>
    <row r="72" spans="1:14" ht="12.75">
      <c r="A72" s="17" t="s">
        <v>137</v>
      </c>
      <c r="B72" s="15" t="s">
        <v>806</v>
      </c>
      <c r="C72" s="15" t="s">
        <v>807</v>
      </c>
      <c r="D72" s="15" t="s">
        <v>808</v>
      </c>
      <c r="E72" s="15" t="str">
        <f>"0,5956"</f>
        <v>0,5956</v>
      </c>
      <c r="F72" s="15" t="s">
        <v>13</v>
      </c>
      <c r="G72" s="15" t="s">
        <v>809</v>
      </c>
      <c r="H72" s="16" t="s">
        <v>89</v>
      </c>
      <c r="I72" s="16" t="s">
        <v>216</v>
      </c>
      <c r="J72" s="18" t="s">
        <v>85</v>
      </c>
      <c r="K72" s="17"/>
      <c r="L72" s="17" t="str">
        <f>"192,5"</f>
        <v>192,5</v>
      </c>
      <c r="M72" s="17" t="str">
        <f>"114,6530"</f>
        <v>114,6530</v>
      </c>
      <c r="N72" s="15" t="s">
        <v>47</v>
      </c>
    </row>
    <row r="73" spans="1:14" ht="12.75">
      <c r="A73" s="17" t="s">
        <v>139</v>
      </c>
      <c r="B73" s="15" t="s">
        <v>810</v>
      </c>
      <c r="C73" s="15" t="s">
        <v>811</v>
      </c>
      <c r="D73" s="15" t="s">
        <v>799</v>
      </c>
      <c r="E73" s="15" t="str">
        <f>"0,5937"</f>
        <v>0,5937</v>
      </c>
      <c r="F73" s="15" t="s">
        <v>13</v>
      </c>
      <c r="G73" s="15" t="s">
        <v>812</v>
      </c>
      <c r="H73" s="16" t="s">
        <v>84</v>
      </c>
      <c r="I73" s="16" t="s">
        <v>96</v>
      </c>
      <c r="J73" s="18" t="s">
        <v>93</v>
      </c>
      <c r="K73" s="17"/>
      <c r="L73" s="17" t="str">
        <f>"185,0"</f>
        <v>185,0</v>
      </c>
      <c r="M73" s="17" t="str">
        <f>"109,8345"</f>
        <v>109,8345</v>
      </c>
      <c r="N73" s="15" t="s">
        <v>47</v>
      </c>
    </row>
    <row r="74" spans="1:14" ht="12.75">
      <c r="A74" s="17" t="s">
        <v>140</v>
      </c>
      <c r="B74" s="15" t="s">
        <v>813</v>
      </c>
      <c r="C74" s="15" t="s">
        <v>814</v>
      </c>
      <c r="D74" s="15" t="s">
        <v>815</v>
      </c>
      <c r="E74" s="15" t="str">
        <f>"0,5941"</f>
        <v>0,5941</v>
      </c>
      <c r="F74" s="15" t="s">
        <v>13</v>
      </c>
      <c r="G74" s="15" t="s">
        <v>52</v>
      </c>
      <c r="H74" s="16" t="s">
        <v>77</v>
      </c>
      <c r="I74" s="18" t="s">
        <v>216</v>
      </c>
      <c r="J74" s="18" t="s">
        <v>216</v>
      </c>
      <c r="K74" s="17"/>
      <c r="L74" s="17" t="str">
        <f>"180,0"</f>
        <v>180,0</v>
      </c>
      <c r="M74" s="17" t="str">
        <f>"106,9380"</f>
        <v>106,9380</v>
      </c>
      <c r="N74" s="15" t="s">
        <v>47</v>
      </c>
    </row>
    <row r="75" spans="1:14" ht="12.75">
      <c r="A75" s="17" t="s">
        <v>450</v>
      </c>
      <c r="B75" s="15" t="s">
        <v>816</v>
      </c>
      <c r="C75" s="15" t="s">
        <v>817</v>
      </c>
      <c r="D75" s="15" t="s">
        <v>818</v>
      </c>
      <c r="E75" s="15" t="str">
        <f>"0,6006"</f>
        <v>0,6006</v>
      </c>
      <c r="F75" s="15" t="s">
        <v>13</v>
      </c>
      <c r="G75" s="15" t="s">
        <v>223</v>
      </c>
      <c r="H75" s="16" t="s">
        <v>75</v>
      </c>
      <c r="I75" s="16" t="s">
        <v>83</v>
      </c>
      <c r="J75" s="18" t="s">
        <v>62</v>
      </c>
      <c r="K75" s="17"/>
      <c r="L75" s="17" t="str">
        <f>"150,0"</f>
        <v>150,0</v>
      </c>
      <c r="M75" s="17" t="str">
        <f>"90,0900"</f>
        <v>90,0900</v>
      </c>
      <c r="N75" s="15" t="s">
        <v>47</v>
      </c>
    </row>
    <row r="76" spans="1:14" ht="12.75">
      <c r="A76" s="17" t="s">
        <v>12</v>
      </c>
      <c r="B76" s="15" t="s">
        <v>797</v>
      </c>
      <c r="C76" s="15" t="s">
        <v>819</v>
      </c>
      <c r="D76" s="15" t="s">
        <v>799</v>
      </c>
      <c r="E76" s="15" t="str">
        <f>"0,5937"</f>
        <v>0,5937</v>
      </c>
      <c r="F76" s="15" t="s">
        <v>13</v>
      </c>
      <c r="G76" s="15" t="s">
        <v>52</v>
      </c>
      <c r="H76" s="16" t="s">
        <v>86</v>
      </c>
      <c r="I76" s="18" t="s">
        <v>94</v>
      </c>
      <c r="J76" s="18" t="s">
        <v>94</v>
      </c>
      <c r="K76" s="17"/>
      <c r="L76" s="17" t="str">
        <f>"210,0"</f>
        <v>210,0</v>
      </c>
      <c r="M76" s="17" t="str">
        <f>"132,1576"</f>
        <v>132,1576</v>
      </c>
      <c r="N76" s="15" t="s">
        <v>697</v>
      </c>
    </row>
    <row r="77" spans="1:14" ht="12.75">
      <c r="A77" s="17" t="s">
        <v>48</v>
      </c>
      <c r="B77" s="15" t="s">
        <v>820</v>
      </c>
      <c r="C77" s="15" t="s">
        <v>821</v>
      </c>
      <c r="D77" s="15" t="s">
        <v>822</v>
      </c>
      <c r="E77" s="15" t="str">
        <f>"0,5994"</f>
        <v>0,5994</v>
      </c>
      <c r="F77" s="15" t="s">
        <v>13</v>
      </c>
      <c r="G77" s="15" t="s">
        <v>823</v>
      </c>
      <c r="H77" s="16" t="s">
        <v>96</v>
      </c>
      <c r="I77" s="16" t="s">
        <v>78</v>
      </c>
      <c r="J77" s="18" t="s">
        <v>93</v>
      </c>
      <c r="K77" s="17"/>
      <c r="L77" s="17" t="str">
        <f>"190,0"</f>
        <v>190,0</v>
      </c>
      <c r="M77" s="17" t="str">
        <f>"120,7192"</f>
        <v>120,7192</v>
      </c>
      <c r="N77" s="15" t="s">
        <v>47</v>
      </c>
    </row>
    <row r="78" spans="1:14" ht="12.75">
      <c r="A78" s="17" t="s">
        <v>50</v>
      </c>
      <c r="B78" s="15" t="s">
        <v>824</v>
      </c>
      <c r="C78" s="15" t="s">
        <v>825</v>
      </c>
      <c r="D78" s="15" t="s">
        <v>242</v>
      </c>
      <c r="E78" s="15" t="str">
        <f>"0,5923"</f>
        <v>0,5923</v>
      </c>
      <c r="F78" s="15" t="s">
        <v>13</v>
      </c>
      <c r="G78" s="15" t="s">
        <v>52</v>
      </c>
      <c r="H78" s="16" t="s">
        <v>63</v>
      </c>
      <c r="I78" s="16" t="s">
        <v>77</v>
      </c>
      <c r="J78" s="18" t="s">
        <v>78</v>
      </c>
      <c r="K78" s="17"/>
      <c r="L78" s="17" t="str">
        <f>"180,0"</f>
        <v>180,0</v>
      </c>
      <c r="M78" s="17" t="str">
        <f>"109,5992"</f>
        <v>109,5992</v>
      </c>
      <c r="N78" s="15" t="s">
        <v>47</v>
      </c>
    </row>
    <row r="79" spans="1:14" ht="12.75">
      <c r="A79" s="17" t="s">
        <v>101</v>
      </c>
      <c r="B79" s="15" t="s">
        <v>826</v>
      </c>
      <c r="C79" s="15" t="s">
        <v>827</v>
      </c>
      <c r="D79" s="15" t="s">
        <v>799</v>
      </c>
      <c r="E79" s="15" t="str">
        <f>"0,5937"</f>
        <v>0,5937</v>
      </c>
      <c r="F79" s="15" t="s">
        <v>103</v>
      </c>
      <c r="G79" s="15" t="s">
        <v>828</v>
      </c>
      <c r="H79" s="16" t="s">
        <v>79</v>
      </c>
      <c r="I79" s="18" t="s">
        <v>63</v>
      </c>
      <c r="J79" s="16" t="s">
        <v>63</v>
      </c>
      <c r="K79" s="17"/>
      <c r="L79" s="17" t="str">
        <f>"170,0"</f>
        <v>170,0</v>
      </c>
      <c r="M79" s="17" t="str">
        <f>"102,3420"</f>
        <v>102,3420</v>
      </c>
      <c r="N79" s="15" t="s">
        <v>47</v>
      </c>
    </row>
    <row r="80" spans="1:14" ht="12.75">
      <c r="A80" s="17" t="s">
        <v>137</v>
      </c>
      <c r="B80" s="15" t="s">
        <v>150</v>
      </c>
      <c r="C80" s="15" t="s">
        <v>151</v>
      </c>
      <c r="D80" s="15" t="s">
        <v>152</v>
      </c>
      <c r="E80" s="15" t="str">
        <f>"0,5910"</f>
        <v>0,5910</v>
      </c>
      <c r="F80" s="15" t="s">
        <v>13</v>
      </c>
      <c r="G80" s="15" t="s">
        <v>138</v>
      </c>
      <c r="H80" s="16" t="s">
        <v>75</v>
      </c>
      <c r="I80" s="16" t="s">
        <v>83</v>
      </c>
      <c r="J80" s="16" t="s">
        <v>62</v>
      </c>
      <c r="K80" s="17"/>
      <c r="L80" s="17" t="str">
        <f>"160,0"</f>
        <v>160,0</v>
      </c>
      <c r="M80" s="17" t="str">
        <f>"98,7206"</f>
        <v>98,7206</v>
      </c>
      <c r="N80" s="15" t="s">
        <v>47</v>
      </c>
    </row>
    <row r="81" spans="1:14" ht="12.75">
      <c r="A81" s="21" t="s">
        <v>12</v>
      </c>
      <c r="B81" s="19" t="s">
        <v>829</v>
      </c>
      <c r="C81" s="19" t="s">
        <v>830</v>
      </c>
      <c r="D81" s="19" t="s">
        <v>831</v>
      </c>
      <c r="E81" s="19" t="str">
        <f>"0,5998"</f>
        <v>0,5998</v>
      </c>
      <c r="F81" s="19" t="s">
        <v>13</v>
      </c>
      <c r="G81" s="19" t="s">
        <v>52</v>
      </c>
      <c r="H81" s="20" t="s">
        <v>75</v>
      </c>
      <c r="I81" s="22" t="s">
        <v>83</v>
      </c>
      <c r="J81" s="22" t="s">
        <v>83</v>
      </c>
      <c r="K81" s="21"/>
      <c r="L81" s="21" t="str">
        <f>"140,0"</f>
        <v>140,0</v>
      </c>
      <c r="M81" s="21" t="str">
        <f>"115,8814"</f>
        <v>115,8814</v>
      </c>
      <c r="N81" s="19" t="s">
        <v>47</v>
      </c>
    </row>
    <row r="82" ht="12.75">
      <c r="B82" s="5" t="s">
        <v>29</v>
      </c>
    </row>
    <row r="83" spans="1:13" ht="15">
      <c r="A83" s="49" t="s">
        <v>153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4" ht="12.75">
      <c r="A84" s="14" t="s">
        <v>12</v>
      </c>
      <c r="B84" s="11" t="s">
        <v>832</v>
      </c>
      <c r="C84" s="11" t="s">
        <v>833</v>
      </c>
      <c r="D84" s="11" t="s">
        <v>834</v>
      </c>
      <c r="E84" s="11" t="str">
        <f>"0,5763"</f>
        <v>0,5763</v>
      </c>
      <c r="F84" s="11" t="s">
        <v>13</v>
      </c>
      <c r="G84" s="11" t="s">
        <v>184</v>
      </c>
      <c r="H84" s="13" t="s">
        <v>124</v>
      </c>
      <c r="I84" s="13" t="s">
        <v>91</v>
      </c>
      <c r="J84" s="14"/>
      <c r="K84" s="14"/>
      <c r="L84" s="14" t="str">
        <f>"250,0"</f>
        <v>250,0</v>
      </c>
      <c r="M84" s="14" t="str">
        <f>"144,0750"</f>
        <v>144,0750</v>
      </c>
      <c r="N84" s="11" t="s">
        <v>47</v>
      </c>
    </row>
    <row r="85" spans="1:14" ht="12.75">
      <c r="A85" s="17" t="s">
        <v>48</v>
      </c>
      <c r="B85" s="15" t="s">
        <v>835</v>
      </c>
      <c r="C85" s="15" t="s">
        <v>836</v>
      </c>
      <c r="D85" s="15" t="s">
        <v>837</v>
      </c>
      <c r="E85" s="15" t="str">
        <f>"0,5782"</f>
        <v>0,5782</v>
      </c>
      <c r="F85" s="15" t="s">
        <v>13</v>
      </c>
      <c r="G85" s="15" t="s">
        <v>52</v>
      </c>
      <c r="H85" s="16" t="s">
        <v>65</v>
      </c>
      <c r="I85" s="18" t="s">
        <v>229</v>
      </c>
      <c r="J85" s="18" t="s">
        <v>229</v>
      </c>
      <c r="K85" s="17"/>
      <c r="L85" s="17" t="str">
        <f>"220,0"</f>
        <v>220,0</v>
      </c>
      <c r="M85" s="17" t="str">
        <f>"127,2040"</f>
        <v>127,2040</v>
      </c>
      <c r="N85" s="15" t="s">
        <v>47</v>
      </c>
    </row>
    <row r="86" spans="1:14" ht="12.75">
      <c r="A86" s="17" t="s">
        <v>50</v>
      </c>
      <c r="B86" s="15" t="s">
        <v>838</v>
      </c>
      <c r="C86" s="15" t="s">
        <v>839</v>
      </c>
      <c r="D86" s="15" t="s">
        <v>840</v>
      </c>
      <c r="E86" s="15" t="str">
        <f>"0,5723"</f>
        <v>0,5723</v>
      </c>
      <c r="F86" s="15" t="s">
        <v>13</v>
      </c>
      <c r="G86" s="15" t="s">
        <v>227</v>
      </c>
      <c r="H86" s="16" t="s">
        <v>78</v>
      </c>
      <c r="I86" s="16" t="s">
        <v>765</v>
      </c>
      <c r="J86" s="18" t="s">
        <v>86</v>
      </c>
      <c r="K86" s="17"/>
      <c r="L86" s="17" t="str">
        <f>"202,5"</f>
        <v>202,5</v>
      </c>
      <c r="M86" s="17" t="str">
        <f>"115,8908"</f>
        <v>115,8908</v>
      </c>
      <c r="N86" s="15" t="s">
        <v>841</v>
      </c>
    </row>
    <row r="87" spans="1:14" ht="12.75">
      <c r="A87" s="17" t="s">
        <v>101</v>
      </c>
      <c r="B87" s="15" t="s">
        <v>842</v>
      </c>
      <c r="C87" s="15" t="s">
        <v>843</v>
      </c>
      <c r="D87" s="15" t="s">
        <v>844</v>
      </c>
      <c r="E87" s="15" t="str">
        <f>"0,5808"</f>
        <v>0,5808</v>
      </c>
      <c r="F87" s="15" t="s">
        <v>13</v>
      </c>
      <c r="G87" s="15" t="s">
        <v>224</v>
      </c>
      <c r="H87" s="16" t="s">
        <v>78</v>
      </c>
      <c r="I87" s="18" t="s">
        <v>85</v>
      </c>
      <c r="J87" s="18" t="s">
        <v>85</v>
      </c>
      <c r="K87" s="17"/>
      <c r="L87" s="17" t="str">
        <f>"190,0"</f>
        <v>190,0</v>
      </c>
      <c r="M87" s="17" t="str">
        <f>"110,3520"</f>
        <v>110,3520</v>
      </c>
      <c r="N87" s="15" t="s">
        <v>845</v>
      </c>
    </row>
    <row r="88" spans="1:14" ht="12.75">
      <c r="A88" s="17" t="s">
        <v>137</v>
      </c>
      <c r="B88" s="15" t="s">
        <v>846</v>
      </c>
      <c r="C88" s="15" t="s">
        <v>408</v>
      </c>
      <c r="D88" s="15" t="s">
        <v>847</v>
      </c>
      <c r="E88" s="15" t="str">
        <f>"0,5804"</f>
        <v>0,5804</v>
      </c>
      <c r="F88" s="15" t="s">
        <v>13</v>
      </c>
      <c r="G88" s="15" t="s">
        <v>52</v>
      </c>
      <c r="H88" s="16" t="s">
        <v>59</v>
      </c>
      <c r="I88" s="16" t="s">
        <v>46</v>
      </c>
      <c r="J88" s="16" t="s">
        <v>56</v>
      </c>
      <c r="K88" s="17"/>
      <c r="L88" s="17" t="str">
        <f>"135,0"</f>
        <v>135,0</v>
      </c>
      <c r="M88" s="17" t="str">
        <f>"78,3540"</f>
        <v>78,3540</v>
      </c>
      <c r="N88" s="15" t="s">
        <v>47</v>
      </c>
    </row>
    <row r="89" spans="1:14" ht="12.75">
      <c r="A89" s="17" t="s">
        <v>102</v>
      </c>
      <c r="B89" s="15" t="s">
        <v>848</v>
      </c>
      <c r="C89" s="15" t="s">
        <v>849</v>
      </c>
      <c r="D89" s="15" t="s">
        <v>850</v>
      </c>
      <c r="E89" s="15" t="str">
        <f>"0,5746"</f>
        <v>0,5746</v>
      </c>
      <c r="F89" s="15" t="s">
        <v>13</v>
      </c>
      <c r="G89" s="15" t="s">
        <v>851</v>
      </c>
      <c r="H89" s="18" t="s">
        <v>87</v>
      </c>
      <c r="I89" s="18" t="s">
        <v>87</v>
      </c>
      <c r="J89" s="18" t="s">
        <v>87</v>
      </c>
      <c r="K89" s="17"/>
      <c r="L89" s="17" t="str">
        <f>"0.00"</f>
        <v>0.00</v>
      </c>
      <c r="M89" s="17" t="str">
        <f>"0,0000"</f>
        <v>0,0000</v>
      </c>
      <c r="N89" s="15" t="s">
        <v>852</v>
      </c>
    </row>
    <row r="90" spans="1:14" ht="12.75">
      <c r="A90" s="17" t="s">
        <v>12</v>
      </c>
      <c r="B90" s="15" t="s">
        <v>853</v>
      </c>
      <c r="C90" s="15" t="s">
        <v>854</v>
      </c>
      <c r="D90" s="15" t="s">
        <v>855</v>
      </c>
      <c r="E90" s="15" t="str">
        <f>"0,5852"</f>
        <v>0,5852</v>
      </c>
      <c r="F90" s="15" t="s">
        <v>13</v>
      </c>
      <c r="G90" s="15" t="s">
        <v>260</v>
      </c>
      <c r="H90" s="18" t="s">
        <v>78</v>
      </c>
      <c r="I90" s="16" t="s">
        <v>78</v>
      </c>
      <c r="J90" s="18" t="s">
        <v>85</v>
      </c>
      <c r="K90" s="17"/>
      <c r="L90" s="17" t="str">
        <f>"190,0"</f>
        <v>190,0</v>
      </c>
      <c r="M90" s="17" t="str">
        <f>"119,8607"</f>
        <v>119,8607</v>
      </c>
      <c r="N90" s="15" t="s">
        <v>47</v>
      </c>
    </row>
    <row r="91" spans="1:14" ht="12.75">
      <c r="A91" s="17" t="s">
        <v>12</v>
      </c>
      <c r="B91" s="15" t="s">
        <v>856</v>
      </c>
      <c r="C91" s="15" t="s">
        <v>857</v>
      </c>
      <c r="D91" s="15" t="s">
        <v>858</v>
      </c>
      <c r="E91" s="15" t="str">
        <f>"0,5780"</f>
        <v>0,5780</v>
      </c>
      <c r="F91" s="15" t="s">
        <v>13</v>
      </c>
      <c r="G91" s="15" t="s">
        <v>52</v>
      </c>
      <c r="H91" s="18" t="s">
        <v>96</v>
      </c>
      <c r="I91" s="16" t="s">
        <v>96</v>
      </c>
      <c r="J91" s="16" t="s">
        <v>85</v>
      </c>
      <c r="K91" s="17"/>
      <c r="L91" s="17" t="str">
        <f>"200,0"</f>
        <v>200,0</v>
      </c>
      <c r="M91" s="17" t="str">
        <f>"159,5280"</f>
        <v>159,5280</v>
      </c>
      <c r="N91" s="15" t="s">
        <v>47</v>
      </c>
    </row>
    <row r="92" spans="1:14" ht="12.75">
      <c r="A92" s="21" t="s">
        <v>48</v>
      </c>
      <c r="B92" s="19" t="s">
        <v>859</v>
      </c>
      <c r="C92" s="19" t="s">
        <v>860</v>
      </c>
      <c r="D92" s="19" t="s">
        <v>861</v>
      </c>
      <c r="E92" s="19" t="str">
        <f>"0,5843"</f>
        <v>0,5843</v>
      </c>
      <c r="F92" s="19" t="s">
        <v>13</v>
      </c>
      <c r="G92" s="19" t="s">
        <v>224</v>
      </c>
      <c r="H92" s="20" t="s">
        <v>75</v>
      </c>
      <c r="I92" s="22" t="s">
        <v>79</v>
      </c>
      <c r="J92" s="22" t="s">
        <v>146</v>
      </c>
      <c r="K92" s="21"/>
      <c r="L92" s="21" t="str">
        <f>"140,0"</f>
        <v>140,0</v>
      </c>
      <c r="M92" s="21" t="str">
        <f>"125,4025"</f>
        <v>125,4025</v>
      </c>
      <c r="N92" s="19" t="s">
        <v>47</v>
      </c>
    </row>
    <row r="93" ht="12.75">
      <c r="B93" s="5" t="s">
        <v>29</v>
      </c>
    </row>
    <row r="94" spans="1:13" ht="15">
      <c r="A94" s="49" t="s">
        <v>197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4" ht="12.75">
      <c r="A95" s="10" t="s">
        <v>12</v>
      </c>
      <c r="B95" s="7" t="s">
        <v>862</v>
      </c>
      <c r="C95" s="7" t="s">
        <v>863</v>
      </c>
      <c r="D95" s="7" t="s">
        <v>864</v>
      </c>
      <c r="E95" s="7" t="str">
        <f>"0,5624"</f>
        <v>0,5624</v>
      </c>
      <c r="F95" s="7" t="s">
        <v>708</v>
      </c>
      <c r="G95" s="7" t="s">
        <v>243</v>
      </c>
      <c r="H95" s="8" t="s">
        <v>92</v>
      </c>
      <c r="I95" s="8" t="s">
        <v>143</v>
      </c>
      <c r="J95" s="9" t="s">
        <v>129</v>
      </c>
      <c r="K95" s="10"/>
      <c r="L95" s="10" t="str">
        <f>"275,0"</f>
        <v>275,0</v>
      </c>
      <c r="M95" s="10" t="str">
        <f>"154,6600"</f>
        <v>154,6600</v>
      </c>
      <c r="N95" s="7" t="s">
        <v>47</v>
      </c>
    </row>
    <row r="96" ht="12.75">
      <c r="B96" s="5" t="s">
        <v>29</v>
      </c>
    </row>
    <row r="97" spans="2:6" ht="15">
      <c r="B97" s="5" t="s">
        <v>29</v>
      </c>
      <c r="F97" s="23"/>
    </row>
    <row r="98" ht="12.75">
      <c r="B98" s="5" t="s">
        <v>29</v>
      </c>
    </row>
    <row r="99" spans="2:7" ht="18">
      <c r="B99" s="24" t="s">
        <v>155</v>
      </c>
      <c r="C99" s="24"/>
      <c r="G99" s="3"/>
    </row>
    <row r="100" spans="2:7" ht="15">
      <c r="B100" s="43" t="s">
        <v>156</v>
      </c>
      <c r="C100" s="43"/>
      <c r="G100" s="3"/>
    </row>
    <row r="101" spans="2:7" ht="14.25">
      <c r="B101" s="25"/>
      <c r="C101" s="25" t="s">
        <v>166</v>
      </c>
      <c r="G101" s="3"/>
    </row>
    <row r="102" spans="2:7" ht="15">
      <c r="B102" s="4" t="s">
        <v>158</v>
      </c>
      <c r="C102" s="4" t="s">
        <v>159</v>
      </c>
      <c r="D102" s="4" t="s">
        <v>160</v>
      </c>
      <c r="E102" s="4" t="s">
        <v>283</v>
      </c>
      <c r="F102" s="4" t="s">
        <v>161</v>
      </c>
      <c r="G102" s="3"/>
    </row>
    <row r="103" spans="2:7" ht="12.75">
      <c r="B103" s="5" t="s">
        <v>722</v>
      </c>
      <c r="C103" s="5" t="s">
        <v>166</v>
      </c>
      <c r="D103" s="6" t="s">
        <v>164</v>
      </c>
      <c r="E103" s="6" t="s">
        <v>726</v>
      </c>
      <c r="F103" s="6" t="s">
        <v>865</v>
      </c>
      <c r="G103" s="3"/>
    </row>
    <row r="104" spans="2:7" ht="12.75">
      <c r="B104" s="5" t="s">
        <v>727</v>
      </c>
      <c r="C104" s="5" t="s">
        <v>166</v>
      </c>
      <c r="D104" s="6" t="s">
        <v>164</v>
      </c>
      <c r="E104" s="6" t="s">
        <v>100</v>
      </c>
      <c r="F104" s="6" t="s">
        <v>866</v>
      </c>
      <c r="G104" s="3"/>
    </row>
    <row r="105" spans="2:7" ht="12.75">
      <c r="B105" s="5" t="s">
        <v>691</v>
      </c>
      <c r="C105" s="5" t="s">
        <v>166</v>
      </c>
      <c r="D105" s="6" t="s">
        <v>165</v>
      </c>
      <c r="E105" s="6" t="s">
        <v>65</v>
      </c>
      <c r="F105" s="6" t="s">
        <v>867</v>
      </c>
      <c r="G105" s="3"/>
    </row>
    <row r="106" ht="12.75">
      <c r="G106" s="3"/>
    </row>
    <row r="107" spans="2:7" ht="14.25">
      <c r="B107" s="25"/>
      <c r="C107" s="25" t="s">
        <v>652</v>
      </c>
      <c r="G107" s="3"/>
    </row>
    <row r="108" spans="2:7" ht="15">
      <c r="B108" s="4" t="s">
        <v>158</v>
      </c>
      <c r="C108" s="4" t="s">
        <v>159</v>
      </c>
      <c r="D108" s="4" t="s">
        <v>160</v>
      </c>
      <c r="E108" s="4" t="s">
        <v>283</v>
      </c>
      <c r="F108" s="4" t="s">
        <v>161</v>
      </c>
      <c r="G108" s="3"/>
    </row>
    <row r="109" spans="2:7" ht="12.75">
      <c r="B109" s="5" t="s">
        <v>689</v>
      </c>
      <c r="C109" s="5" t="s">
        <v>868</v>
      </c>
      <c r="D109" s="6" t="s">
        <v>165</v>
      </c>
      <c r="E109" s="6" t="s">
        <v>87</v>
      </c>
      <c r="F109" s="6" t="s">
        <v>869</v>
      </c>
      <c r="G109" s="3"/>
    </row>
    <row r="110" spans="2:7" ht="12.75">
      <c r="B110" s="5" t="s">
        <v>856</v>
      </c>
      <c r="C110" s="5" t="s">
        <v>653</v>
      </c>
      <c r="D110" s="6" t="s">
        <v>244</v>
      </c>
      <c r="E110" s="6" t="s">
        <v>85</v>
      </c>
      <c r="F110" s="6" t="s">
        <v>870</v>
      </c>
      <c r="G110" s="3"/>
    </row>
    <row r="111" spans="2:7" ht="12.75">
      <c r="B111" s="5" t="s">
        <v>691</v>
      </c>
      <c r="C111" s="5" t="s">
        <v>868</v>
      </c>
      <c r="D111" s="6" t="s">
        <v>165</v>
      </c>
      <c r="E111" s="6" t="s">
        <v>65</v>
      </c>
      <c r="F111" s="6" t="s">
        <v>867</v>
      </c>
      <c r="G111" s="3"/>
    </row>
    <row r="112" ht="12.75">
      <c r="B112" s="5" t="s">
        <v>29</v>
      </c>
    </row>
  </sheetData>
  <sheetProtection/>
  <mergeCells count="23">
    <mergeCell ref="A83:M83"/>
    <mergeCell ref="A94:M94"/>
    <mergeCell ref="B3:B4"/>
    <mergeCell ref="A16:M16"/>
    <mergeCell ref="A21:M21"/>
    <mergeCell ref="A25:M25"/>
    <mergeCell ref="A38:M38"/>
    <mergeCell ref="A51:M51"/>
    <mergeCell ref="A65:M65"/>
    <mergeCell ref="L3:L4"/>
    <mergeCell ref="M3:M4"/>
    <mergeCell ref="N3:N4"/>
    <mergeCell ref="A5:M5"/>
    <mergeCell ref="A8:M8"/>
    <mergeCell ref="A12:M12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2"/>
    </sheetView>
  </sheetViews>
  <sheetFormatPr defaultColWidth="9.125" defaultRowHeight="12.75"/>
  <cols>
    <col min="1" max="1" width="7.375" style="6" bestFit="1" customWidth="1"/>
    <col min="2" max="2" width="24.125" style="5" customWidth="1"/>
    <col min="3" max="3" width="26.25390625" style="5" bestFit="1" customWidth="1"/>
    <col min="4" max="4" width="15.125" style="5" customWidth="1"/>
    <col min="5" max="5" width="10.375" style="5" bestFit="1" customWidth="1"/>
    <col min="6" max="6" width="17.875" style="5" customWidth="1"/>
    <col min="7" max="7" width="22.25390625" style="5" customWidth="1"/>
    <col min="8" max="10" width="5.375" style="6" bestFit="1" customWidth="1"/>
    <col min="11" max="11" width="4.875" style="6" bestFit="1" customWidth="1"/>
    <col min="12" max="12" width="11.25390625" style="6" bestFit="1" customWidth="1"/>
    <col min="13" max="13" width="8.375" style="6" bestFit="1" customWidth="1"/>
    <col min="14" max="14" width="19.25390625" style="5" customWidth="1"/>
    <col min="15" max="16384" width="9.125" style="3" customWidth="1"/>
  </cols>
  <sheetData>
    <row r="1" spans="1:14" s="2" customFormat="1" ht="28.5" customHeight="1">
      <c r="A1" s="51" t="s">
        <v>871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2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1"/>
      <c r="M4" s="61"/>
      <c r="N4" s="46"/>
    </row>
    <row r="5" spans="1:13" ht="15">
      <c r="A5" s="47" t="s">
        <v>54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373</v>
      </c>
      <c r="C6" s="7" t="s">
        <v>374</v>
      </c>
      <c r="D6" s="7" t="s">
        <v>375</v>
      </c>
      <c r="E6" s="7" t="str">
        <f>"0,7738"</f>
        <v>0,7738</v>
      </c>
      <c r="F6" s="7" t="s">
        <v>13</v>
      </c>
      <c r="G6" s="7" t="s">
        <v>437</v>
      </c>
      <c r="H6" s="9" t="s">
        <v>73</v>
      </c>
      <c r="I6" s="9" t="s">
        <v>73</v>
      </c>
      <c r="J6" s="8" t="s">
        <v>73</v>
      </c>
      <c r="K6" s="10"/>
      <c r="L6" s="10" t="str">
        <f>"120,0"</f>
        <v>120,0</v>
      </c>
      <c r="M6" s="10" t="str">
        <f>"92,8560"</f>
        <v>92,8560</v>
      </c>
      <c r="N6" s="7" t="s">
        <v>47</v>
      </c>
    </row>
    <row r="7" ht="12.75">
      <c r="B7" s="5" t="s">
        <v>29</v>
      </c>
    </row>
    <row r="8" spans="1:13" ht="15">
      <c r="A8" s="49" t="s">
        <v>105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0" t="s">
        <v>12</v>
      </c>
      <c r="B9" s="7" t="s">
        <v>872</v>
      </c>
      <c r="C9" s="7" t="s">
        <v>873</v>
      </c>
      <c r="D9" s="7" t="s">
        <v>874</v>
      </c>
      <c r="E9" s="7" t="str">
        <f>"0,6888"</f>
        <v>0,6888</v>
      </c>
      <c r="F9" s="7" t="s">
        <v>13</v>
      </c>
      <c r="G9" s="7" t="s">
        <v>875</v>
      </c>
      <c r="H9" s="9" t="s">
        <v>96</v>
      </c>
      <c r="I9" s="8" t="s">
        <v>96</v>
      </c>
      <c r="J9" s="8" t="s">
        <v>78</v>
      </c>
      <c r="K9" s="10"/>
      <c r="L9" s="10" t="str">
        <f>"190,0"</f>
        <v>190,0</v>
      </c>
      <c r="M9" s="10" t="str">
        <f>"130,8720"</f>
        <v>130,8720</v>
      </c>
      <c r="N9" s="7" t="s">
        <v>47</v>
      </c>
    </row>
    <row r="10" ht="12.75">
      <c r="B10" s="5" t="s">
        <v>29</v>
      </c>
    </row>
    <row r="11" ht="12.75">
      <c r="B11" s="5" t="s">
        <v>29</v>
      </c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10" sqref="G10"/>
    </sheetView>
  </sheetViews>
  <sheetFormatPr defaultColWidth="9.125" defaultRowHeight="12.75"/>
  <cols>
    <col min="1" max="1" width="7.375" style="6" bestFit="1" customWidth="1"/>
    <col min="2" max="2" width="20.375" style="5" bestFit="1" customWidth="1"/>
    <col min="3" max="3" width="27.375" style="5" bestFit="1" customWidth="1"/>
    <col min="4" max="4" width="14.875" style="5" customWidth="1"/>
    <col min="5" max="5" width="10.375" style="5" bestFit="1" customWidth="1"/>
    <col min="6" max="6" width="15.75390625" style="5" customWidth="1"/>
    <col min="7" max="7" width="20.875" style="5" customWidth="1"/>
    <col min="8" max="10" width="5.375" style="6" bestFit="1" customWidth="1"/>
    <col min="11" max="11" width="4.875" style="6" bestFit="1" customWidth="1"/>
    <col min="12" max="12" width="11.25390625" style="6" bestFit="1" customWidth="1"/>
    <col min="13" max="13" width="8.375" style="6" bestFit="1" customWidth="1"/>
    <col min="14" max="14" width="16.375" style="5" customWidth="1"/>
    <col min="15" max="16384" width="9.125" style="3" customWidth="1"/>
  </cols>
  <sheetData>
    <row r="1" spans="1:14" s="2" customFormat="1" ht="28.5" customHeight="1">
      <c r="A1" s="51" t="s">
        <v>876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2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1"/>
      <c r="M4" s="61"/>
      <c r="N4" s="46"/>
    </row>
    <row r="5" spans="1:13" ht="15">
      <c r="A5" s="47" t="s">
        <v>105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872</v>
      </c>
      <c r="C6" s="7" t="s">
        <v>873</v>
      </c>
      <c r="D6" s="7" t="s">
        <v>874</v>
      </c>
      <c r="E6" s="7" t="str">
        <f>"0,6888"</f>
        <v>0,6888</v>
      </c>
      <c r="F6" s="7" t="s">
        <v>13</v>
      </c>
      <c r="G6" s="7" t="s">
        <v>877</v>
      </c>
      <c r="H6" s="9" t="s">
        <v>96</v>
      </c>
      <c r="I6" s="8" t="s">
        <v>96</v>
      </c>
      <c r="J6" s="8" t="s">
        <v>78</v>
      </c>
      <c r="K6" s="10"/>
      <c r="L6" s="10" t="str">
        <f>"190,0"</f>
        <v>190,0</v>
      </c>
      <c r="M6" s="10" t="str">
        <f>"130,8720"</f>
        <v>130,8720</v>
      </c>
      <c r="N6" s="7" t="s">
        <v>47</v>
      </c>
    </row>
    <row r="7" ht="12.75">
      <c r="B7" s="5" t="s">
        <v>29</v>
      </c>
    </row>
    <row r="8" spans="1:13" ht="15">
      <c r="A8" s="49" t="s">
        <v>141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4" t="s">
        <v>12</v>
      </c>
      <c r="B9" s="11" t="s">
        <v>878</v>
      </c>
      <c r="C9" s="11" t="s">
        <v>879</v>
      </c>
      <c r="D9" s="11" t="s">
        <v>142</v>
      </c>
      <c r="E9" s="11" t="str">
        <f>"0,6111"</f>
        <v>0,6111</v>
      </c>
      <c r="F9" s="11" t="s">
        <v>13</v>
      </c>
      <c r="G9" s="11" t="s">
        <v>880</v>
      </c>
      <c r="H9" s="12" t="s">
        <v>91</v>
      </c>
      <c r="I9" s="12" t="s">
        <v>100</v>
      </c>
      <c r="J9" s="13" t="s">
        <v>100</v>
      </c>
      <c r="K9" s="14"/>
      <c r="L9" s="14" t="str">
        <f>"255,0"</f>
        <v>255,0</v>
      </c>
      <c r="M9" s="14" t="str">
        <f>"155,8305"</f>
        <v>155,8305</v>
      </c>
      <c r="N9" s="11" t="s">
        <v>47</v>
      </c>
    </row>
    <row r="10" spans="1:14" ht="12.75">
      <c r="A10" s="17" t="s">
        <v>48</v>
      </c>
      <c r="B10" s="15" t="s">
        <v>763</v>
      </c>
      <c r="C10" s="15" t="s">
        <v>764</v>
      </c>
      <c r="D10" s="15" t="s">
        <v>572</v>
      </c>
      <c r="E10" s="15" t="str">
        <f>"0,6131"</f>
        <v>0,6131</v>
      </c>
      <c r="F10" s="15" t="s">
        <v>13</v>
      </c>
      <c r="G10" s="15" t="s">
        <v>177</v>
      </c>
      <c r="H10" s="18" t="s">
        <v>99</v>
      </c>
      <c r="I10" s="18" t="s">
        <v>99</v>
      </c>
      <c r="J10" s="16" t="s">
        <v>91</v>
      </c>
      <c r="K10" s="17"/>
      <c r="L10" s="17" t="str">
        <f>"250,0"</f>
        <v>250,0</v>
      </c>
      <c r="M10" s="17" t="str">
        <f>"153,2750"</f>
        <v>153,2750</v>
      </c>
      <c r="N10" s="15" t="s">
        <v>47</v>
      </c>
    </row>
    <row r="11" spans="1:14" ht="12.75">
      <c r="A11" s="17" t="s">
        <v>50</v>
      </c>
      <c r="B11" s="15" t="s">
        <v>881</v>
      </c>
      <c r="C11" s="15" t="s">
        <v>882</v>
      </c>
      <c r="D11" s="15" t="s">
        <v>145</v>
      </c>
      <c r="E11" s="15" t="str">
        <f>"0,6155"</f>
        <v>0,6155</v>
      </c>
      <c r="F11" s="15" t="s">
        <v>13</v>
      </c>
      <c r="G11" s="15" t="s">
        <v>301</v>
      </c>
      <c r="H11" s="16" t="s">
        <v>110</v>
      </c>
      <c r="I11" s="16" t="s">
        <v>94</v>
      </c>
      <c r="J11" s="16" t="s">
        <v>128</v>
      </c>
      <c r="K11" s="17"/>
      <c r="L11" s="17" t="str">
        <f>"227,5"</f>
        <v>227,5</v>
      </c>
      <c r="M11" s="17" t="str">
        <f>"140,0262"</f>
        <v>140,0262</v>
      </c>
      <c r="N11" s="15" t="s">
        <v>47</v>
      </c>
    </row>
    <row r="12" spans="1:14" ht="12.75">
      <c r="A12" s="17" t="s">
        <v>101</v>
      </c>
      <c r="B12" s="15" t="s">
        <v>883</v>
      </c>
      <c r="C12" s="15" t="s">
        <v>884</v>
      </c>
      <c r="D12" s="15" t="s">
        <v>188</v>
      </c>
      <c r="E12" s="15" t="str">
        <f>"0,6172"</f>
        <v>0,6172</v>
      </c>
      <c r="F12" s="15" t="s">
        <v>103</v>
      </c>
      <c r="G12" s="15" t="s">
        <v>104</v>
      </c>
      <c r="H12" s="16" t="s">
        <v>64</v>
      </c>
      <c r="I12" s="16" t="s">
        <v>110</v>
      </c>
      <c r="J12" s="16" t="s">
        <v>65</v>
      </c>
      <c r="K12" s="17"/>
      <c r="L12" s="17" t="str">
        <f>"220,0"</f>
        <v>220,0</v>
      </c>
      <c r="M12" s="17" t="str">
        <f>"135,7840"</f>
        <v>135,7840</v>
      </c>
      <c r="N12" s="15" t="s">
        <v>47</v>
      </c>
    </row>
    <row r="13" spans="1:14" ht="12.75">
      <c r="A13" s="17" t="s">
        <v>12</v>
      </c>
      <c r="B13" s="15" t="s">
        <v>763</v>
      </c>
      <c r="C13" s="15" t="s">
        <v>781</v>
      </c>
      <c r="D13" s="15" t="s">
        <v>572</v>
      </c>
      <c r="E13" s="15" t="str">
        <f>"0,6131"</f>
        <v>0,6131</v>
      </c>
      <c r="F13" s="15" t="s">
        <v>13</v>
      </c>
      <c r="G13" s="15" t="s">
        <v>177</v>
      </c>
      <c r="H13" s="18" t="s">
        <v>99</v>
      </c>
      <c r="I13" s="18" t="s">
        <v>99</v>
      </c>
      <c r="J13" s="16" t="s">
        <v>91</v>
      </c>
      <c r="K13" s="17"/>
      <c r="L13" s="17" t="str">
        <f>"250,0"</f>
        <v>250,0</v>
      </c>
      <c r="M13" s="17" t="str">
        <f>"162,4715"</f>
        <v>162,4715</v>
      </c>
      <c r="N13" s="15" t="s">
        <v>47</v>
      </c>
    </row>
    <row r="14" spans="1:14" ht="12.75">
      <c r="A14" s="21" t="s">
        <v>48</v>
      </c>
      <c r="B14" s="19" t="s">
        <v>885</v>
      </c>
      <c r="C14" s="19" t="s">
        <v>886</v>
      </c>
      <c r="D14" s="19" t="s">
        <v>187</v>
      </c>
      <c r="E14" s="19" t="str">
        <f>"0,6142"</f>
        <v>0,6142</v>
      </c>
      <c r="F14" s="19" t="s">
        <v>207</v>
      </c>
      <c r="G14" s="19" t="s">
        <v>887</v>
      </c>
      <c r="H14" s="22" t="s">
        <v>64</v>
      </c>
      <c r="I14" s="20" t="s">
        <v>64</v>
      </c>
      <c r="J14" s="20" t="s">
        <v>110</v>
      </c>
      <c r="K14" s="21"/>
      <c r="L14" s="21" t="str">
        <f>"215,0"</f>
        <v>215,0</v>
      </c>
      <c r="M14" s="21" t="str">
        <f>"133,9017"</f>
        <v>133,9017</v>
      </c>
      <c r="N14" s="19" t="s">
        <v>47</v>
      </c>
    </row>
    <row r="15" ht="12.75">
      <c r="B15" s="5" t="s">
        <v>29</v>
      </c>
    </row>
    <row r="16" spans="1:13" ht="15">
      <c r="A16" s="49" t="s">
        <v>153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4" ht="12.75">
      <c r="A17" s="10" t="s">
        <v>12</v>
      </c>
      <c r="B17" s="7" t="s">
        <v>888</v>
      </c>
      <c r="C17" s="7" t="s">
        <v>889</v>
      </c>
      <c r="D17" s="7" t="s">
        <v>890</v>
      </c>
      <c r="E17" s="7" t="str">
        <f>"0,5872"</f>
        <v>0,5872</v>
      </c>
      <c r="F17" s="7" t="s">
        <v>103</v>
      </c>
      <c r="G17" s="7" t="s">
        <v>104</v>
      </c>
      <c r="H17" s="8" t="s">
        <v>110</v>
      </c>
      <c r="I17" s="8" t="s">
        <v>90</v>
      </c>
      <c r="J17" s="9" t="s">
        <v>107</v>
      </c>
      <c r="K17" s="10"/>
      <c r="L17" s="10" t="str">
        <f>"230,0"</f>
        <v>230,0</v>
      </c>
      <c r="M17" s="10" t="str">
        <f>"135,0560"</f>
        <v>135,0560</v>
      </c>
      <c r="N17" s="7" t="s">
        <v>47</v>
      </c>
    </row>
    <row r="18" ht="12.75">
      <c r="B18" s="5" t="s">
        <v>29</v>
      </c>
    </row>
  </sheetData>
  <sheetProtection/>
  <mergeCells count="15">
    <mergeCell ref="A16:M16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2" sqref="F12"/>
    </sheetView>
  </sheetViews>
  <sheetFormatPr defaultColWidth="9.125" defaultRowHeight="12.75"/>
  <cols>
    <col min="1" max="1" width="7.375" style="6" bestFit="1" customWidth="1"/>
    <col min="2" max="2" width="21.125" style="5" customWidth="1"/>
    <col min="3" max="3" width="27.375" style="5" bestFit="1" customWidth="1"/>
    <col min="4" max="4" width="16.375" style="5" customWidth="1"/>
    <col min="5" max="5" width="10.375" style="5" bestFit="1" customWidth="1"/>
    <col min="6" max="6" width="16.75390625" style="5" customWidth="1"/>
    <col min="7" max="7" width="16.125" style="5" customWidth="1"/>
    <col min="8" max="10" width="5.375" style="6" bestFit="1" customWidth="1"/>
    <col min="11" max="11" width="4.875" style="6" bestFit="1" customWidth="1"/>
    <col min="12" max="12" width="11.25390625" style="6" bestFit="1" customWidth="1"/>
    <col min="13" max="13" width="8.375" style="6" bestFit="1" customWidth="1"/>
    <col min="14" max="14" width="20.75390625" style="5" customWidth="1"/>
    <col min="15" max="16384" width="9.125" style="3" customWidth="1"/>
  </cols>
  <sheetData>
    <row r="1" spans="1:14" s="2" customFormat="1" ht="28.5" customHeight="1">
      <c r="A1" s="51" t="s">
        <v>891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2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1"/>
      <c r="M4" s="61"/>
      <c r="N4" s="46"/>
    </row>
    <row r="5" spans="1:13" ht="15">
      <c r="A5" s="47" t="s">
        <v>105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706</v>
      </c>
      <c r="C6" s="7" t="s">
        <v>707</v>
      </c>
      <c r="D6" s="7" t="s">
        <v>115</v>
      </c>
      <c r="E6" s="7" t="str">
        <f>"0,6704"</f>
        <v>0,6704</v>
      </c>
      <c r="F6" s="7" t="s">
        <v>207</v>
      </c>
      <c r="G6" s="7" t="s">
        <v>887</v>
      </c>
      <c r="H6" s="8" t="s">
        <v>77</v>
      </c>
      <c r="I6" s="8" t="s">
        <v>78</v>
      </c>
      <c r="J6" s="9" t="s">
        <v>85</v>
      </c>
      <c r="K6" s="10"/>
      <c r="L6" s="10" t="str">
        <f>"190,0"</f>
        <v>190,0</v>
      </c>
      <c r="M6" s="10" t="str">
        <f>"130,9425"</f>
        <v>130,9425</v>
      </c>
      <c r="N6" s="7" t="s">
        <v>47</v>
      </c>
    </row>
    <row r="7" ht="12.75">
      <c r="B7" s="5" t="s">
        <v>29</v>
      </c>
    </row>
    <row r="8" spans="1:13" ht="15">
      <c r="A8" s="49" t="s">
        <v>141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0" t="s">
        <v>102</v>
      </c>
      <c r="B9" s="7" t="s">
        <v>892</v>
      </c>
      <c r="C9" s="7" t="s">
        <v>893</v>
      </c>
      <c r="D9" s="7" t="s">
        <v>894</v>
      </c>
      <c r="E9" s="7" t="str">
        <f>"0,6086"</f>
        <v>0,6086</v>
      </c>
      <c r="F9" s="7" t="s">
        <v>13</v>
      </c>
      <c r="G9" s="7" t="s">
        <v>199</v>
      </c>
      <c r="H9" s="9" t="s">
        <v>92</v>
      </c>
      <c r="I9" s="9" t="s">
        <v>126</v>
      </c>
      <c r="J9" s="9" t="s">
        <v>178</v>
      </c>
      <c r="K9" s="10"/>
      <c r="L9" s="29">
        <v>0</v>
      </c>
      <c r="M9" s="10" t="str">
        <f>"0,0000"</f>
        <v>0,0000</v>
      </c>
      <c r="N9" s="7" t="s">
        <v>210</v>
      </c>
    </row>
    <row r="10" ht="12.75">
      <c r="B10" s="5" t="s">
        <v>29</v>
      </c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:N2"/>
    </sheetView>
  </sheetViews>
  <sheetFormatPr defaultColWidth="9.125" defaultRowHeight="12.75"/>
  <cols>
    <col min="1" max="1" width="7.375" style="6" bestFit="1" customWidth="1"/>
    <col min="2" max="2" width="23.25390625" style="5" bestFit="1" customWidth="1"/>
    <col min="3" max="3" width="27.375" style="5" bestFit="1" customWidth="1"/>
    <col min="4" max="4" width="17.25390625" style="5" customWidth="1"/>
    <col min="5" max="5" width="10.375" style="5" bestFit="1" customWidth="1"/>
    <col min="6" max="6" width="17.875" style="5" customWidth="1"/>
    <col min="7" max="7" width="25.375" style="5" customWidth="1"/>
    <col min="8" max="10" width="5.375" style="6" bestFit="1" customWidth="1"/>
    <col min="11" max="11" width="4.875" style="6" bestFit="1" customWidth="1"/>
    <col min="12" max="12" width="11.25390625" style="28" bestFit="1" customWidth="1"/>
    <col min="13" max="13" width="8.375" style="6" bestFit="1" customWidth="1"/>
    <col min="14" max="14" width="20.75390625" style="5" customWidth="1"/>
    <col min="15" max="16384" width="9.125" style="3" customWidth="1"/>
  </cols>
  <sheetData>
    <row r="1" spans="1:14" s="2" customFormat="1" ht="28.5" customHeight="1">
      <c r="A1" s="51" t="s">
        <v>895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896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5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6"/>
      <c r="M4" s="61"/>
      <c r="N4" s="46"/>
    </row>
    <row r="5" spans="1:13" ht="15">
      <c r="A5" s="47" t="s">
        <v>245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897</v>
      </c>
      <c r="C6" s="7" t="s">
        <v>898</v>
      </c>
      <c r="D6" s="7" t="s">
        <v>899</v>
      </c>
      <c r="E6" s="7" t="str">
        <f>"1,0645"</f>
        <v>1,0645</v>
      </c>
      <c r="F6" s="7" t="s">
        <v>13</v>
      </c>
      <c r="G6" s="7" t="s">
        <v>437</v>
      </c>
      <c r="H6" s="8" t="s">
        <v>26</v>
      </c>
      <c r="I6" s="9" t="s">
        <v>41</v>
      </c>
      <c r="J6" s="9" t="s">
        <v>41</v>
      </c>
      <c r="K6" s="10"/>
      <c r="L6" s="29" t="str">
        <f>"80,0"</f>
        <v>80,0</v>
      </c>
      <c r="M6" s="10" t="str">
        <f>"85,1600"</f>
        <v>85,1600</v>
      </c>
      <c r="N6" s="7" t="s">
        <v>900</v>
      </c>
    </row>
    <row r="7" ht="12.75">
      <c r="B7" s="5" t="s">
        <v>29</v>
      </c>
    </row>
    <row r="8" spans="1:13" ht="15">
      <c r="A8" s="49" t="s">
        <v>39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0" t="s">
        <v>12</v>
      </c>
      <c r="B9" s="7" t="s">
        <v>901</v>
      </c>
      <c r="C9" s="7" t="s">
        <v>902</v>
      </c>
      <c r="D9" s="7" t="s">
        <v>272</v>
      </c>
      <c r="E9" s="7" t="str">
        <f>"0,9984"</f>
        <v>0,9984</v>
      </c>
      <c r="F9" s="7" t="s">
        <v>13</v>
      </c>
      <c r="G9" s="7" t="s">
        <v>52</v>
      </c>
      <c r="H9" s="8" t="s">
        <v>16</v>
      </c>
      <c r="I9" s="8" t="s">
        <v>26</v>
      </c>
      <c r="J9" s="8" t="s">
        <v>17</v>
      </c>
      <c r="K9" s="10"/>
      <c r="L9" s="29" t="str">
        <f>"85,0"</f>
        <v>85,0</v>
      </c>
      <c r="M9" s="10" t="str">
        <f>"84,8598"</f>
        <v>84,8598</v>
      </c>
      <c r="N9" s="7" t="s">
        <v>903</v>
      </c>
    </row>
    <row r="10" ht="12.75">
      <c r="B10" s="5" t="s">
        <v>29</v>
      </c>
    </row>
    <row r="11" spans="1:13" ht="15">
      <c r="A11" s="49" t="s">
        <v>54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4" ht="12.75">
      <c r="A12" s="10" t="s">
        <v>12</v>
      </c>
      <c r="B12" s="7" t="s">
        <v>904</v>
      </c>
      <c r="C12" s="7" t="s">
        <v>905</v>
      </c>
      <c r="D12" s="7" t="s">
        <v>76</v>
      </c>
      <c r="E12" s="7" t="str">
        <f>"0,9123"</f>
        <v>0,9123</v>
      </c>
      <c r="F12" s="7" t="s">
        <v>13</v>
      </c>
      <c r="G12" s="7" t="s">
        <v>14</v>
      </c>
      <c r="H12" s="8" t="s">
        <v>55</v>
      </c>
      <c r="I12" s="9" t="s">
        <v>73</v>
      </c>
      <c r="J12" s="9" t="s">
        <v>46</v>
      </c>
      <c r="K12" s="10"/>
      <c r="L12" s="29" t="str">
        <f>"110,0"</f>
        <v>110,0</v>
      </c>
      <c r="M12" s="10" t="str">
        <f>"100,3585"</f>
        <v>100,3585</v>
      </c>
      <c r="N12" s="7" t="s">
        <v>47</v>
      </c>
    </row>
    <row r="13" ht="12.75">
      <c r="B13" s="5" t="s">
        <v>29</v>
      </c>
    </row>
    <row r="14" spans="1:13" ht="15">
      <c r="A14" s="49" t="s">
        <v>54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4" ht="12.75">
      <c r="A15" s="14" t="s">
        <v>12</v>
      </c>
      <c r="B15" s="11" t="s">
        <v>368</v>
      </c>
      <c r="C15" s="11" t="s">
        <v>369</v>
      </c>
      <c r="D15" s="11" t="s">
        <v>212</v>
      </c>
      <c r="E15" s="11" t="str">
        <f>"0,7561"</f>
        <v>0,7561</v>
      </c>
      <c r="F15" s="11" t="s">
        <v>13</v>
      </c>
      <c r="G15" s="11" t="s">
        <v>875</v>
      </c>
      <c r="H15" s="13" t="s">
        <v>63</v>
      </c>
      <c r="I15" s="13" t="s">
        <v>77</v>
      </c>
      <c r="J15" s="14"/>
      <c r="K15" s="14"/>
      <c r="L15" s="26" t="str">
        <f>"180,0"</f>
        <v>180,0</v>
      </c>
      <c r="M15" s="14" t="str">
        <f>"136,0980"</f>
        <v>136,0980</v>
      </c>
      <c r="N15" s="11" t="s">
        <v>47</v>
      </c>
    </row>
    <row r="16" spans="1:14" ht="12.75">
      <c r="A16" s="17" t="s">
        <v>48</v>
      </c>
      <c r="B16" s="15" t="s">
        <v>906</v>
      </c>
      <c r="C16" s="15" t="s">
        <v>907</v>
      </c>
      <c r="D16" s="15" t="s">
        <v>72</v>
      </c>
      <c r="E16" s="15" t="str">
        <f>"0,7671"</f>
        <v>0,7671</v>
      </c>
      <c r="F16" s="15" t="s">
        <v>13</v>
      </c>
      <c r="G16" s="15" t="s">
        <v>14</v>
      </c>
      <c r="H16" s="16" t="s">
        <v>79</v>
      </c>
      <c r="I16" s="16" t="s">
        <v>112</v>
      </c>
      <c r="J16" s="18" t="s">
        <v>84</v>
      </c>
      <c r="K16" s="17"/>
      <c r="L16" s="30" t="str">
        <f>"167,5"</f>
        <v>167,5</v>
      </c>
      <c r="M16" s="17" t="str">
        <f>"128,4809"</f>
        <v>128,4809</v>
      </c>
      <c r="N16" s="15" t="s">
        <v>24</v>
      </c>
    </row>
    <row r="17" spans="1:14" ht="12.75">
      <c r="A17" s="21" t="s">
        <v>50</v>
      </c>
      <c r="B17" s="19" t="s">
        <v>373</v>
      </c>
      <c r="C17" s="19" t="s">
        <v>374</v>
      </c>
      <c r="D17" s="19" t="s">
        <v>908</v>
      </c>
      <c r="E17" s="19" t="str">
        <f>"0,7517"</f>
        <v>0,7517</v>
      </c>
      <c r="F17" s="19" t="s">
        <v>13</v>
      </c>
      <c r="G17" s="19" t="s">
        <v>909</v>
      </c>
      <c r="H17" s="20" t="s">
        <v>83</v>
      </c>
      <c r="I17" s="22" t="s">
        <v>62</v>
      </c>
      <c r="J17" s="20" t="s">
        <v>62</v>
      </c>
      <c r="K17" s="21"/>
      <c r="L17" s="27" t="str">
        <f>"160,0"</f>
        <v>160,0</v>
      </c>
      <c r="M17" s="21" t="str">
        <f>"120,2752"</f>
        <v>120,2752</v>
      </c>
      <c r="N17" s="19" t="s">
        <v>47</v>
      </c>
    </row>
    <row r="18" ht="12.75">
      <c r="B18" s="5" t="s">
        <v>29</v>
      </c>
    </row>
    <row r="19" spans="1:13" ht="15">
      <c r="A19" s="49" t="s">
        <v>105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4" ht="12.75">
      <c r="A20" s="14" t="s">
        <v>12</v>
      </c>
      <c r="B20" s="11" t="s">
        <v>910</v>
      </c>
      <c r="C20" s="11" t="s">
        <v>911</v>
      </c>
      <c r="D20" s="11" t="s">
        <v>912</v>
      </c>
      <c r="E20" s="11" t="str">
        <f>"0,6479"</f>
        <v>0,6479</v>
      </c>
      <c r="F20" s="11" t="s">
        <v>13</v>
      </c>
      <c r="G20" s="11" t="s">
        <v>116</v>
      </c>
      <c r="H20" s="13" t="s">
        <v>65</v>
      </c>
      <c r="I20" s="13" t="s">
        <v>90</v>
      </c>
      <c r="J20" s="13" t="s">
        <v>124</v>
      </c>
      <c r="K20" s="14"/>
      <c r="L20" s="26" t="str">
        <f>"240,0"</f>
        <v>240,0</v>
      </c>
      <c r="M20" s="14" t="str">
        <f>"155,5020"</f>
        <v>155,5020</v>
      </c>
      <c r="N20" s="11" t="s">
        <v>47</v>
      </c>
    </row>
    <row r="21" spans="1:14" ht="12.75">
      <c r="A21" s="17" t="s">
        <v>48</v>
      </c>
      <c r="B21" s="15" t="s">
        <v>913</v>
      </c>
      <c r="C21" s="15" t="s">
        <v>914</v>
      </c>
      <c r="D21" s="15" t="s">
        <v>915</v>
      </c>
      <c r="E21" s="15" t="str">
        <f>"0,6687"</f>
        <v>0,6687</v>
      </c>
      <c r="F21" s="15" t="s">
        <v>13</v>
      </c>
      <c r="G21" s="15" t="s">
        <v>14</v>
      </c>
      <c r="H21" s="18" t="s">
        <v>78</v>
      </c>
      <c r="I21" s="16" t="s">
        <v>86</v>
      </c>
      <c r="J21" s="18" t="s">
        <v>65</v>
      </c>
      <c r="K21" s="17"/>
      <c r="L21" s="30" t="str">
        <f>"210,0"</f>
        <v>210,0</v>
      </c>
      <c r="M21" s="17" t="str">
        <f>"140,4375"</f>
        <v>140,4375</v>
      </c>
      <c r="N21" s="15" t="s">
        <v>24</v>
      </c>
    </row>
    <row r="22" spans="1:14" ht="12.75">
      <c r="A22" s="21" t="s">
        <v>12</v>
      </c>
      <c r="B22" s="19" t="s">
        <v>910</v>
      </c>
      <c r="C22" s="19" t="s">
        <v>916</v>
      </c>
      <c r="D22" s="19" t="s">
        <v>912</v>
      </c>
      <c r="E22" s="19" t="str">
        <f>"0,6479"</f>
        <v>0,6479</v>
      </c>
      <c r="F22" s="19" t="s">
        <v>13</v>
      </c>
      <c r="G22" s="19" t="s">
        <v>116</v>
      </c>
      <c r="H22" s="20" t="s">
        <v>65</v>
      </c>
      <c r="I22" s="20" t="s">
        <v>90</v>
      </c>
      <c r="J22" s="20" t="s">
        <v>124</v>
      </c>
      <c r="K22" s="21"/>
      <c r="L22" s="27" t="str">
        <f>"240,0"</f>
        <v>240,0</v>
      </c>
      <c r="M22" s="21" t="str">
        <f>"184,1144"</f>
        <v>184,1144</v>
      </c>
      <c r="N22" s="19" t="s">
        <v>47</v>
      </c>
    </row>
    <row r="23" ht="12.75">
      <c r="B23" s="5" t="s">
        <v>29</v>
      </c>
    </row>
    <row r="24" spans="1:13" ht="15">
      <c r="A24" s="49" t="s">
        <v>120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4" ht="12.75">
      <c r="A25" s="14" t="s">
        <v>12</v>
      </c>
      <c r="B25" s="11" t="s">
        <v>917</v>
      </c>
      <c r="C25" s="11" t="s">
        <v>918</v>
      </c>
      <c r="D25" s="11" t="s">
        <v>279</v>
      </c>
      <c r="E25" s="11" t="str">
        <f>"0,6222"</f>
        <v>0,6222</v>
      </c>
      <c r="F25" s="11" t="s">
        <v>13</v>
      </c>
      <c r="G25" s="11" t="s">
        <v>919</v>
      </c>
      <c r="H25" s="13" t="s">
        <v>65</v>
      </c>
      <c r="I25" s="13" t="s">
        <v>107</v>
      </c>
      <c r="J25" s="13" t="s">
        <v>91</v>
      </c>
      <c r="K25" s="14"/>
      <c r="L25" s="26" t="str">
        <f>"250,0"</f>
        <v>250,0</v>
      </c>
      <c r="M25" s="14" t="str">
        <f>"155,5375"</f>
        <v>155,5375</v>
      </c>
      <c r="N25" s="11" t="s">
        <v>47</v>
      </c>
    </row>
    <row r="26" spans="1:14" ht="12.75">
      <c r="A26" s="17" t="s">
        <v>48</v>
      </c>
      <c r="B26" s="15" t="s">
        <v>920</v>
      </c>
      <c r="C26" s="15" t="s">
        <v>921</v>
      </c>
      <c r="D26" s="15" t="s">
        <v>134</v>
      </c>
      <c r="E26" s="15" t="str">
        <f>"0,6130"</f>
        <v>0,6130</v>
      </c>
      <c r="F26" s="15" t="s">
        <v>13</v>
      </c>
      <c r="G26" s="15" t="s">
        <v>922</v>
      </c>
      <c r="H26" s="16" t="s">
        <v>84</v>
      </c>
      <c r="I26" s="16" t="s">
        <v>769</v>
      </c>
      <c r="J26" s="18" t="s">
        <v>85</v>
      </c>
      <c r="K26" s="17"/>
      <c r="L26" s="30" t="str">
        <f>"187,5"</f>
        <v>187,5</v>
      </c>
      <c r="M26" s="17" t="str">
        <f>"114,9375"</f>
        <v>114,9375</v>
      </c>
      <c r="N26" s="15" t="s">
        <v>246</v>
      </c>
    </row>
    <row r="27" spans="1:14" ht="12.75">
      <c r="A27" s="17" t="s">
        <v>12</v>
      </c>
      <c r="B27" s="15" t="s">
        <v>923</v>
      </c>
      <c r="C27" s="15" t="s">
        <v>924</v>
      </c>
      <c r="D27" s="15" t="s">
        <v>123</v>
      </c>
      <c r="E27" s="15" t="str">
        <f>"0,6149"</f>
        <v>0,6149</v>
      </c>
      <c r="F27" s="15" t="s">
        <v>13</v>
      </c>
      <c r="G27" s="15" t="s">
        <v>925</v>
      </c>
      <c r="H27" s="16" t="s">
        <v>769</v>
      </c>
      <c r="I27" s="16" t="s">
        <v>175</v>
      </c>
      <c r="J27" s="18" t="s">
        <v>98</v>
      </c>
      <c r="K27" s="17"/>
      <c r="L27" s="30" t="str">
        <f>"207,5"</f>
        <v>207,5</v>
      </c>
      <c r="M27" s="17" t="str">
        <f>"142,0096"</f>
        <v>142,0096</v>
      </c>
      <c r="N27" s="15" t="s">
        <v>47</v>
      </c>
    </row>
    <row r="28" spans="1:14" ht="12.75">
      <c r="A28" s="21" t="s">
        <v>12</v>
      </c>
      <c r="B28" s="19" t="s">
        <v>917</v>
      </c>
      <c r="C28" s="19" t="s">
        <v>926</v>
      </c>
      <c r="D28" s="19" t="s">
        <v>279</v>
      </c>
      <c r="E28" s="19" t="str">
        <f>"0,6222"</f>
        <v>0,6222</v>
      </c>
      <c r="F28" s="19" t="s">
        <v>13</v>
      </c>
      <c r="G28" s="19" t="s">
        <v>919</v>
      </c>
      <c r="H28" s="20" t="s">
        <v>65</v>
      </c>
      <c r="I28" s="20" t="s">
        <v>107</v>
      </c>
      <c r="J28" s="20" t="s">
        <v>91</v>
      </c>
      <c r="K28" s="21"/>
      <c r="L28" s="27" t="str">
        <f>"250,0"</f>
        <v>250,0</v>
      </c>
      <c r="M28" s="21" t="str">
        <f>"175,7574"</f>
        <v>175,7574</v>
      </c>
      <c r="N28" s="19" t="s">
        <v>47</v>
      </c>
    </row>
    <row r="29" ht="12.75">
      <c r="B29" s="5" t="s">
        <v>29</v>
      </c>
    </row>
    <row r="30" spans="1:13" ht="15">
      <c r="A30" s="49" t="s">
        <v>141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4" ht="12.75">
      <c r="A31" s="41" t="s">
        <v>626</v>
      </c>
      <c r="B31" s="11" t="s">
        <v>927</v>
      </c>
      <c r="C31" s="11" t="s">
        <v>928</v>
      </c>
      <c r="D31" s="11" t="s">
        <v>929</v>
      </c>
      <c r="E31" s="11" t="str">
        <f>"0,6054"</f>
        <v>0,6054</v>
      </c>
      <c r="F31" s="11" t="s">
        <v>13</v>
      </c>
      <c r="G31" s="11" t="s">
        <v>14</v>
      </c>
      <c r="H31" s="13" t="s">
        <v>178</v>
      </c>
      <c r="I31" s="13" t="s">
        <v>129</v>
      </c>
      <c r="J31" s="12" t="s">
        <v>182</v>
      </c>
      <c r="K31" s="14"/>
      <c r="L31" s="26" t="str">
        <f>"290,0"</f>
        <v>290,0</v>
      </c>
      <c r="M31" s="14" t="str">
        <f>"175,5515"</f>
        <v>175,5515</v>
      </c>
      <c r="N31" s="11" t="s">
        <v>47</v>
      </c>
    </row>
    <row r="32" spans="1:14" ht="12.75">
      <c r="A32" s="17" t="s">
        <v>12</v>
      </c>
      <c r="B32" s="15" t="s">
        <v>930</v>
      </c>
      <c r="C32" s="15" t="s">
        <v>931</v>
      </c>
      <c r="D32" s="15" t="s">
        <v>932</v>
      </c>
      <c r="E32" s="15" t="str">
        <f>"0,5933"</f>
        <v>0,5933</v>
      </c>
      <c r="F32" s="15" t="s">
        <v>13</v>
      </c>
      <c r="G32" s="15" t="s">
        <v>218</v>
      </c>
      <c r="H32" s="18" t="s">
        <v>65</v>
      </c>
      <c r="I32" s="16" t="s">
        <v>65</v>
      </c>
      <c r="J32" s="18" t="s">
        <v>229</v>
      </c>
      <c r="K32" s="17"/>
      <c r="L32" s="30" t="str">
        <f>"220,0"</f>
        <v>220,0</v>
      </c>
      <c r="M32" s="17" t="str">
        <f>"130,5260"</f>
        <v>130,5260</v>
      </c>
      <c r="N32" s="15" t="s">
        <v>933</v>
      </c>
    </row>
    <row r="33" spans="1:14" ht="12.75">
      <c r="A33" s="17" t="s">
        <v>12</v>
      </c>
      <c r="B33" s="15" t="s">
        <v>934</v>
      </c>
      <c r="C33" s="15" t="s">
        <v>935</v>
      </c>
      <c r="D33" s="15" t="s">
        <v>579</v>
      </c>
      <c r="E33" s="15" t="str">
        <f>"0,5853"</f>
        <v>0,5853</v>
      </c>
      <c r="F33" s="15" t="s">
        <v>13</v>
      </c>
      <c r="G33" s="15" t="s">
        <v>14</v>
      </c>
      <c r="H33" s="18" t="s">
        <v>91</v>
      </c>
      <c r="I33" s="18" t="s">
        <v>91</v>
      </c>
      <c r="J33" s="16" t="s">
        <v>91</v>
      </c>
      <c r="K33" s="17"/>
      <c r="L33" s="30" t="str">
        <f>"250,0"</f>
        <v>250,0</v>
      </c>
      <c r="M33" s="17" t="str">
        <f>"173,2636"</f>
        <v>173,2636</v>
      </c>
      <c r="N33" s="15" t="s">
        <v>47</v>
      </c>
    </row>
    <row r="34" spans="1:14" ht="12.75">
      <c r="A34" s="21" t="s">
        <v>48</v>
      </c>
      <c r="B34" s="19" t="s">
        <v>936</v>
      </c>
      <c r="C34" s="19" t="s">
        <v>937</v>
      </c>
      <c r="D34" s="19" t="s">
        <v>237</v>
      </c>
      <c r="E34" s="19" t="str">
        <f>"0,5818"</f>
        <v>0,5818</v>
      </c>
      <c r="F34" s="19" t="s">
        <v>13</v>
      </c>
      <c r="G34" s="19" t="s">
        <v>938</v>
      </c>
      <c r="H34" s="20" t="s">
        <v>96</v>
      </c>
      <c r="I34" s="20" t="s">
        <v>765</v>
      </c>
      <c r="J34" s="20" t="s">
        <v>110</v>
      </c>
      <c r="K34" s="21"/>
      <c r="L34" s="27" t="str">
        <f>"215,0"</f>
        <v>215,0</v>
      </c>
      <c r="M34" s="21" t="str">
        <f>"155,8584"</f>
        <v>155,8584</v>
      </c>
      <c r="N34" s="19" t="s">
        <v>47</v>
      </c>
    </row>
    <row r="35" ht="12.75">
      <c r="B35" s="5" t="s">
        <v>29</v>
      </c>
    </row>
    <row r="36" spans="1:13" ht="15">
      <c r="A36" s="49" t="s">
        <v>149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4" ht="12.75">
      <c r="A37" s="14" t="s">
        <v>12</v>
      </c>
      <c r="B37" s="11" t="s">
        <v>939</v>
      </c>
      <c r="C37" s="11" t="s">
        <v>582</v>
      </c>
      <c r="D37" s="11" t="s">
        <v>597</v>
      </c>
      <c r="E37" s="11" t="str">
        <f>"0,5663"</f>
        <v>0,5663</v>
      </c>
      <c r="F37" s="11" t="s">
        <v>13</v>
      </c>
      <c r="G37" s="11" t="s">
        <v>14</v>
      </c>
      <c r="H37" s="13" t="s">
        <v>90</v>
      </c>
      <c r="I37" s="13" t="s">
        <v>147</v>
      </c>
      <c r="J37" s="12" t="s">
        <v>91</v>
      </c>
      <c r="K37" s="14"/>
      <c r="L37" s="26" t="str">
        <f>"242,5"</f>
        <v>242,5</v>
      </c>
      <c r="M37" s="14" t="str">
        <f>"137,3277"</f>
        <v>137,3277</v>
      </c>
      <c r="N37" s="11" t="s">
        <v>24</v>
      </c>
    </row>
    <row r="38" spans="1:14" ht="12.75">
      <c r="A38" s="17" t="s">
        <v>102</v>
      </c>
      <c r="B38" s="15" t="s">
        <v>940</v>
      </c>
      <c r="C38" s="15" t="s">
        <v>941</v>
      </c>
      <c r="D38" s="15" t="s">
        <v>942</v>
      </c>
      <c r="E38" s="15" t="str">
        <f>"0,5681"</f>
        <v>0,5681</v>
      </c>
      <c r="F38" s="15" t="s">
        <v>13</v>
      </c>
      <c r="G38" s="15" t="s">
        <v>14</v>
      </c>
      <c r="H38" s="18" t="s">
        <v>91</v>
      </c>
      <c r="I38" s="18" t="s">
        <v>91</v>
      </c>
      <c r="J38" s="18" t="s">
        <v>91</v>
      </c>
      <c r="K38" s="17"/>
      <c r="L38" s="30">
        <v>0</v>
      </c>
      <c r="M38" s="17" t="str">
        <f>"0,0000"</f>
        <v>0,0000</v>
      </c>
      <c r="N38" s="15" t="s">
        <v>47</v>
      </c>
    </row>
    <row r="39" spans="1:14" ht="12.75">
      <c r="A39" s="17" t="s">
        <v>102</v>
      </c>
      <c r="B39" s="15" t="s">
        <v>150</v>
      </c>
      <c r="C39" s="15" t="s">
        <v>222</v>
      </c>
      <c r="D39" s="15" t="s">
        <v>943</v>
      </c>
      <c r="E39" s="15" t="str">
        <f>"0,5648"</f>
        <v>0,5648</v>
      </c>
      <c r="F39" s="15" t="s">
        <v>13</v>
      </c>
      <c r="G39" s="15" t="s">
        <v>138</v>
      </c>
      <c r="H39" s="17" t="s">
        <v>944</v>
      </c>
      <c r="I39" s="17"/>
      <c r="J39" s="17"/>
      <c r="K39" s="17"/>
      <c r="L39" s="30">
        <v>0</v>
      </c>
      <c r="M39" s="17" t="str">
        <f>"0,0000"</f>
        <v>0,0000</v>
      </c>
      <c r="N39" s="15" t="s">
        <v>47</v>
      </c>
    </row>
    <row r="40" spans="1:14" ht="12.75">
      <c r="A40" s="21" t="s">
        <v>102</v>
      </c>
      <c r="B40" s="19" t="s">
        <v>150</v>
      </c>
      <c r="C40" s="19" t="s">
        <v>151</v>
      </c>
      <c r="D40" s="19" t="s">
        <v>943</v>
      </c>
      <c r="E40" s="19" t="str">
        <f>"0,5648"</f>
        <v>0,5648</v>
      </c>
      <c r="F40" s="19" t="s">
        <v>13</v>
      </c>
      <c r="G40" s="19" t="s">
        <v>138</v>
      </c>
      <c r="H40" s="21" t="s">
        <v>944</v>
      </c>
      <c r="I40" s="21"/>
      <c r="J40" s="21"/>
      <c r="K40" s="21"/>
      <c r="L40" s="27">
        <v>0</v>
      </c>
      <c r="M40" s="21" t="str">
        <f>"0,0000"</f>
        <v>0,0000</v>
      </c>
      <c r="N40" s="19" t="s">
        <v>47</v>
      </c>
    </row>
    <row r="41" ht="12.75">
      <c r="B41" s="5" t="s">
        <v>29</v>
      </c>
    </row>
    <row r="42" spans="1:13" ht="15">
      <c r="A42" s="49" t="s">
        <v>153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4" ht="12.75">
      <c r="A43" s="14" t="s">
        <v>12</v>
      </c>
      <c r="B43" s="11" t="s">
        <v>945</v>
      </c>
      <c r="C43" s="11" t="s">
        <v>946</v>
      </c>
      <c r="D43" s="11" t="s">
        <v>625</v>
      </c>
      <c r="E43" s="11" t="str">
        <f>"0,5496"</f>
        <v>0,5496</v>
      </c>
      <c r="F43" s="11" t="s">
        <v>13</v>
      </c>
      <c r="G43" s="11" t="s">
        <v>14</v>
      </c>
      <c r="H43" s="13" t="s">
        <v>179</v>
      </c>
      <c r="I43" s="13" t="s">
        <v>947</v>
      </c>
      <c r="J43" s="13" t="s">
        <v>130</v>
      </c>
      <c r="K43" s="14"/>
      <c r="L43" s="26" t="str">
        <f>"307,5"</f>
        <v>307,5</v>
      </c>
      <c r="M43" s="14" t="str">
        <f>"169,0020"</f>
        <v>169,0020</v>
      </c>
      <c r="N43" s="11" t="s">
        <v>47</v>
      </c>
    </row>
    <row r="44" spans="1:14" ht="12.75">
      <c r="A44" s="17" t="s">
        <v>48</v>
      </c>
      <c r="B44" s="15" t="s">
        <v>611</v>
      </c>
      <c r="C44" s="15" t="s">
        <v>612</v>
      </c>
      <c r="D44" s="15" t="s">
        <v>613</v>
      </c>
      <c r="E44" s="15" t="str">
        <f>"0,5619"</f>
        <v>0,5619</v>
      </c>
      <c r="F44" s="15" t="s">
        <v>13</v>
      </c>
      <c r="G44" s="15" t="s">
        <v>14</v>
      </c>
      <c r="H44" s="16" t="s">
        <v>179</v>
      </c>
      <c r="I44" s="18" t="s">
        <v>226</v>
      </c>
      <c r="J44" s="18" t="s">
        <v>130</v>
      </c>
      <c r="K44" s="17"/>
      <c r="L44" s="30" t="str">
        <f>"300,0"</f>
        <v>300,0</v>
      </c>
      <c r="M44" s="17" t="str">
        <f>"168,5700"</f>
        <v>168,5700</v>
      </c>
      <c r="N44" s="15" t="s">
        <v>614</v>
      </c>
    </row>
    <row r="45" spans="1:14" ht="12.75">
      <c r="A45" s="21" t="s">
        <v>12</v>
      </c>
      <c r="B45" s="19" t="s">
        <v>611</v>
      </c>
      <c r="C45" s="19" t="s">
        <v>622</v>
      </c>
      <c r="D45" s="19" t="s">
        <v>613</v>
      </c>
      <c r="E45" s="19" t="str">
        <f>"0,5619"</f>
        <v>0,5619</v>
      </c>
      <c r="F45" s="19" t="s">
        <v>13</v>
      </c>
      <c r="G45" s="19" t="s">
        <v>14</v>
      </c>
      <c r="H45" s="20" t="s">
        <v>179</v>
      </c>
      <c r="I45" s="22" t="s">
        <v>226</v>
      </c>
      <c r="J45" s="22" t="s">
        <v>130</v>
      </c>
      <c r="K45" s="21"/>
      <c r="L45" s="27" t="str">
        <f>"300,0"</f>
        <v>300,0</v>
      </c>
      <c r="M45" s="21" t="str">
        <f>"171,9414"</f>
        <v>171,9414</v>
      </c>
      <c r="N45" s="19" t="s">
        <v>614</v>
      </c>
    </row>
    <row r="46" ht="12.75">
      <c r="B46" s="5" t="s">
        <v>29</v>
      </c>
    </row>
    <row r="47" spans="1:13" ht="15">
      <c r="A47" s="49" t="s">
        <v>197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4" ht="12.75">
      <c r="A48" s="14" t="s">
        <v>12</v>
      </c>
      <c r="B48" s="11" t="s">
        <v>948</v>
      </c>
      <c r="C48" s="11" t="s">
        <v>949</v>
      </c>
      <c r="D48" s="11" t="s">
        <v>950</v>
      </c>
      <c r="E48" s="11" t="str">
        <f>"0,5398"</f>
        <v>0,5398</v>
      </c>
      <c r="F48" s="11" t="s">
        <v>13</v>
      </c>
      <c r="G48" s="11" t="s">
        <v>14</v>
      </c>
      <c r="H48" s="12" t="s">
        <v>91</v>
      </c>
      <c r="I48" s="13" t="s">
        <v>91</v>
      </c>
      <c r="J48" s="12" t="s">
        <v>126</v>
      </c>
      <c r="K48" s="14"/>
      <c r="L48" s="26" t="str">
        <f>"250,0"</f>
        <v>250,0</v>
      </c>
      <c r="M48" s="14" t="str">
        <f>"134,9550"</f>
        <v>134,9550</v>
      </c>
      <c r="N48" s="11" t="s">
        <v>24</v>
      </c>
    </row>
    <row r="49" spans="1:14" ht="12.75">
      <c r="A49" s="21" t="s">
        <v>12</v>
      </c>
      <c r="B49" s="19" t="s">
        <v>948</v>
      </c>
      <c r="C49" s="19" t="s">
        <v>951</v>
      </c>
      <c r="D49" s="19" t="s">
        <v>950</v>
      </c>
      <c r="E49" s="19" t="str">
        <f>"0,5398"</f>
        <v>0,5398</v>
      </c>
      <c r="F49" s="19" t="s">
        <v>13</v>
      </c>
      <c r="G49" s="19" t="s">
        <v>14</v>
      </c>
      <c r="H49" s="22" t="s">
        <v>91</v>
      </c>
      <c r="I49" s="20" t="s">
        <v>91</v>
      </c>
      <c r="J49" s="22" t="s">
        <v>126</v>
      </c>
      <c r="K49" s="21"/>
      <c r="L49" s="27" t="str">
        <f>"250,0"</f>
        <v>250,0</v>
      </c>
      <c r="M49" s="21" t="str">
        <f>"152,4992"</f>
        <v>152,4992</v>
      </c>
      <c r="N49" s="19" t="s">
        <v>24</v>
      </c>
    </row>
    <row r="50" ht="12.75">
      <c r="B50" s="5" t="s">
        <v>29</v>
      </c>
    </row>
    <row r="51" spans="2:6" ht="15">
      <c r="B51" s="5" t="s">
        <v>29</v>
      </c>
      <c r="F51" s="23"/>
    </row>
    <row r="52" ht="12.75">
      <c r="B52" s="5" t="s">
        <v>29</v>
      </c>
    </row>
    <row r="53" spans="2:7" ht="18">
      <c r="B53" s="24" t="s">
        <v>155</v>
      </c>
      <c r="C53" s="24"/>
      <c r="G53" s="3"/>
    </row>
    <row r="54" spans="2:7" ht="15">
      <c r="B54" s="43" t="s">
        <v>156</v>
      </c>
      <c r="C54" s="43"/>
      <c r="G54" s="3"/>
    </row>
    <row r="55" spans="2:7" ht="14.25">
      <c r="B55" s="25"/>
      <c r="C55" s="25" t="s">
        <v>166</v>
      </c>
      <c r="G55" s="3"/>
    </row>
    <row r="56" spans="2:7" ht="15">
      <c r="B56" s="4" t="s">
        <v>158</v>
      </c>
      <c r="C56" s="4" t="s">
        <v>159</v>
      </c>
      <c r="D56" s="4" t="s">
        <v>160</v>
      </c>
      <c r="E56" s="4" t="s">
        <v>283</v>
      </c>
      <c r="F56" s="4" t="s">
        <v>952</v>
      </c>
      <c r="G56" s="3"/>
    </row>
    <row r="57" spans="1:7" ht="12.75">
      <c r="A57" s="40" t="s">
        <v>626</v>
      </c>
      <c r="B57" s="5" t="s">
        <v>927</v>
      </c>
      <c r="C57" s="5" t="s">
        <v>166</v>
      </c>
      <c r="D57" s="6" t="s">
        <v>167</v>
      </c>
      <c r="E57" s="6" t="s">
        <v>129</v>
      </c>
      <c r="F57" s="6" t="s">
        <v>953</v>
      </c>
      <c r="G57" s="3"/>
    </row>
    <row r="58" spans="2:7" ht="12.75">
      <c r="B58" s="5" t="s">
        <v>945</v>
      </c>
      <c r="C58" s="5" t="s">
        <v>166</v>
      </c>
      <c r="D58" s="6" t="s">
        <v>244</v>
      </c>
      <c r="E58" s="6" t="s">
        <v>130</v>
      </c>
      <c r="F58" s="6" t="s">
        <v>954</v>
      </c>
      <c r="G58" s="3"/>
    </row>
    <row r="59" spans="2:7" ht="12.75">
      <c r="B59" s="5" t="s">
        <v>611</v>
      </c>
      <c r="C59" s="5" t="s">
        <v>166</v>
      </c>
      <c r="D59" s="6" t="s">
        <v>244</v>
      </c>
      <c r="E59" s="6" t="s">
        <v>179</v>
      </c>
      <c r="F59" s="6" t="s">
        <v>955</v>
      </c>
      <c r="G59" s="3"/>
    </row>
    <row r="60" ht="12.75">
      <c r="G60" s="3"/>
    </row>
    <row r="61" spans="2:7" ht="14.25">
      <c r="B61" s="25"/>
      <c r="C61" s="25" t="s">
        <v>652</v>
      </c>
      <c r="G61" s="3"/>
    </row>
    <row r="62" spans="2:7" ht="15">
      <c r="B62" s="4" t="s">
        <v>158</v>
      </c>
      <c r="C62" s="4" t="s">
        <v>159</v>
      </c>
      <c r="D62" s="4" t="s">
        <v>160</v>
      </c>
      <c r="E62" s="4" t="s">
        <v>283</v>
      </c>
      <c r="F62" s="4" t="s">
        <v>952</v>
      </c>
      <c r="G62" s="3"/>
    </row>
    <row r="63" spans="2:7" ht="12.75">
      <c r="B63" s="5" t="s">
        <v>910</v>
      </c>
      <c r="C63" s="5" t="s">
        <v>956</v>
      </c>
      <c r="D63" s="6" t="s">
        <v>165</v>
      </c>
      <c r="E63" s="6" t="s">
        <v>124</v>
      </c>
      <c r="F63" s="6" t="s">
        <v>957</v>
      </c>
      <c r="G63" s="3"/>
    </row>
    <row r="64" spans="2:7" ht="12.75">
      <c r="B64" s="5" t="s">
        <v>917</v>
      </c>
      <c r="C64" s="5" t="s">
        <v>956</v>
      </c>
      <c r="D64" s="6" t="s">
        <v>164</v>
      </c>
      <c r="E64" s="6" t="s">
        <v>91</v>
      </c>
      <c r="F64" s="6" t="s">
        <v>958</v>
      </c>
      <c r="G64" s="3"/>
    </row>
    <row r="65" spans="2:7" ht="12.75">
      <c r="B65" s="5" t="s">
        <v>934</v>
      </c>
      <c r="C65" s="5" t="s">
        <v>956</v>
      </c>
      <c r="D65" s="6" t="s">
        <v>167</v>
      </c>
      <c r="E65" s="6" t="s">
        <v>91</v>
      </c>
      <c r="F65" s="6" t="s">
        <v>959</v>
      </c>
      <c r="G65" s="3"/>
    </row>
    <row r="66" ht="12.75">
      <c r="B66" s="5" t="s">
        <v>29</v>
      </c>
    </row>
  </sheetData>
  <sheetProtection/>
  <mergeCells count="22">
    <mergeCell ref="A47:M47"/>
    <mergeCell ref="B3:B4"/>
    <mergeCell ref="A14:M14"/>
    <mergeCell ref="A19:M19"/>
    <mergeCell ref="A24:M24"/>
    <mergeCell ref="A30:M30"/>
    <mergeCell ref="A36:M36"/>
    <mergeCell ref="A42:M42"/>
    <mergeCell ref="L3:L4"/>
    <mergeCell ref="M3:M4"/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L33" sqref="L33"/>
    </sheetView>
  </sheetViews>
  <sheetFormatPr defaultColWidth="9.125" defaultRowHeight="12.75"/>
  <cols>
    <col min="1" max="1" width="7.375" style="6" bestFit="1" customWidth="1"/>
    <col min="2" max="2" width="23.25390625" style="5" bestFit="1" customWidth="1"/>
    <col min="3" max="3" width="27.375" style="5" bestFit="1" customWidth="1"/>
    <col min="4" max="4" width="16.25390625" style="5" customWidth="1"/>
    <col min="5" max="5" width="10.375" style="5" bestFit="1" customWidth="1"/>
    <col min="6" max="6" width="19.75390625" style="5" customWidth="1"/>
    <col min="7" max="7" width="19.125" style="5" bestFit="1" customWidth="1"/>
    <col min="8" max="11" width="5.375" style="6" bestFit="1" customWidth="1"/>
    <col min="12" max="12" width="11.25390625" style="28" bestFit="1" customWidth="1"/>
    <col min="13" max="13" width="8.375" style="6" bestFit="1" customWidth="1"/>
    <col min="14" max="14" width="20.25390625" style="5" customWidth="1"/>
    <col min="15" max="16384" width="9.125" style="3" customWidth="1"/>
  </cols>
  <sheetData>
    <row r="1" spans="1:14" s="2" customFormat="1" ht="28.5" customHeight="1">
      <c r="A1" s="51" t="s">
        <v>960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896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5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6"/>
      <c r="M4" s="61"/>
      <c r="N4" s="46"/>
    </row>
    <row r="5" spans="1:13" ht="15">
      <c r="A5" s="47" t="s">
        <v>105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4" t="s">
        <v>12</v>
      </c>
      <c r="B6" s="11" t="s">
        <v>961</v>
      </c>
      <c r="C6" s="11" t="s">
        <v>962</v>
      </c>
      <c r="D6" s="11" t="s">
        <v>111</v>
      </c>
      <c r="E6" s="11" t="str">
        <f>"0,7907"</f>
        <v>0,7907</v>
      </c>
      <c r="F6" s="11" t="s">
        <v>13</v>
      </c>
      <c r="G6" s="11" t="s">
        <v>963</v>
      </c>
      <c r="H6" s="13" t="s">
        <v>63</v>
      </c>
      <c r="I6" s="12" t="s">
        <v>89</v>
      </c>
      <c r="J6" s="13" t="s">
        <v>89</v>
      </c>
      <c r="K6" s="14"/>
      <c r="L6" s="26" t="str">
        <f>"182,5"</f>
        <v>182,5</v>
      </c>
      <c r="M6" s="14" t="str">
        <f>"144,3028"</f>
        <v>144,3028</v>
      </c>
      <c r="N6" s="11" t="s">
        <v>47</v>
      </c>
    </row>
    <row r="7" spans="1:14" ht="12.75">
      <c r="A7" s="21" t="s">
        <v>12</v>
      </c>
      <c r="B7" s="19" t="s">
        <v>961</v>
      </c>
      <c r="C7" s="19" t="s">
        <v>964</v>
      </c>
      <c r="D7" s="19" t="s">
        <v>111</v>
      </c>
      <c r="E7" s="19" t="str">
        <f>"0,7907"</f>
        <v>0,7907</v>
      </c>
      <c r="F7" s="19" t="s">
        <v>13</v>
      </c>
      <c r="G7" s="19" t="s">
        <v>963</v>
      </c>
      <c r="H7" s="20" t="s">
        <v>63</v>
      </c>
      <c r="I7" s="22" t="s">
        <v>89</v>
      </c>
      <c r="J7" s="20" t="s">
        <v>89</v>
      </c>
      <c r="K7" s="21"/>
      <c r="L7" s="27" t="str">
        <f>"182,5"</f>
        <v>182,5</v>
      </c>
      <c r="M7" s="21" t="str">
        <f>"144,3028"</f>
        <v>144,3028</v>
      </c>
      <c r="N7" s="19" t="s">
        <v>47</v>
      </c>
    </row>
    <row r="8" ht="12.75">
      <c r="B8" s="5" t="s">
        <v>29</v>
      </c>
    </row>
    <row r="9" spans="1:13" ht="15">
      <c r="A9" s="49" t="s">
        <v>54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 ht="12.75">
      <c r="A10" s="14" t="s">
        <v>12</v>
      </c>
      <c r="B10" s="11" t="s">
        <v>368</v>
      </c>
      <c r="C10" s="11" t="s">
        <v>369</v>
      </c>
      <c r="D10" s="11" t="s">
        <v>212</v>
      </c>
      <c r="E10" s="11" t="str">
        <f>"0,7561"</f>
        <v>0,7561</v>
      </c>
      <c r="F10" s="11" t="s">
        <v>13</v>
      </c>
      <c r="G10" s="11" t="s">
        <v>877</v>
      </c>
      <c r="H10" s="13" t="s">
        <v>63</v>
      </c>
      <c r="I10" s="13" t="s">
        <v>77</v>
      </c>
      <c r="J10" s="14"/>
      <c r="K10" s="14"/>
      <c r="L10" s="26" t="str">
        <f>"180,0"</f>
        <v>180,0</v>
      </c>
      <c r="M10" s="14" t="str">
        <f>"136,0980"</f>
        <v>136,0980</v>
      </c>
      <c r="N10" s="11" t="s">
        <v>47</v>
      </c>
    </row>
    <row r="11" spans="1:14" ht="12.75">
      <c r="A11" s="21" t="s">
        <v>48</v>
      </c>
      <c r="B11" s="19" t="s">
        <v>373</v>
      </c>
      <c r="C11" s="19" t="s">
        <v>374</v>
      </c>
      <c r="D11" s="19" t="s">
        <v>908</v>
      </c>
      <c r="E11" s="19" t="str">
        <f>"0,7517"</f>
        <v>0,7517</v>
      </c>
      <c r="F11" s="19" t="s">
        <v>13</v>
      </c>
      <c r="G11" s="19" t="s">
        <v>965</v>
      </c>
      <c r="H11" s="20" t="s">
        <v>83</v>
      </c>
      <c r="I11" s="22" t="s">
        <v>62</v>
      </c>
      <c r="J11" s="20" t="s">
        <v>62</v>
      </c>
      <c r="K11" s="21"/>
      <c r="L11" s="27" t="str">
        <f>"160,0"</f>
        <v>160,0</v>
      </c>
      <c r="M11" s="21" t="str">
        <f>"120,2752"</f>
        <v>120,2752</v>
      </c>
      <c r="N11" s="19" t="s">
        <v>47</v>
      </c>
    </row>
    <row r="12" ht="12.75">
      <c r="B12" s="5" t="s">
        <v>29</v>
      </c>
    </row>
    <row r="13" spans="1:13" ht="15">
      <c r="A13" s="49" t="s">
        <v>82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2.75">
      <c r="A14" s="14" t="s">
        <v>12</v>
      </c>
      <c r="B14" s="11" t="s">
        <v>966</v>
      </c>
      <c r="C14" s="11" t="s">
        <v>967</v>
      </c>
      <c r="D14" s="11" t="s">
        <v>217</v>
      </c>
      <c r="E14" s="11" t="str">
        <f>"0,6998"</f>
        <v>0,6998</v>
      </c>
      <c r="F14" s="11" t="s">
        <v>13</v>
      </c>
      <c r="G14" s="11" t="s">
        <v>968</v>
      </c>
      <c r="H14" s="13" t="s">
        <v>126</v>
      </c>
      <c r="I14" s="12" t="s">
        <v>129</v>
      </c>
      <c r="J14" s="12" t="s">
        <v>129</v>
      </c>
      <c r="K14" s="14"/>
      <c r="L14" s="26" t="str">
        <f>"270,0"</f>
        <v>270,0</v>
      </c>
      <c r="M14" s="14" t="str">
        <f>"188,9325"</f>
        <v>188,9325</v>
      </c>
      <c r="N14" s="11" t="s">
        <v>969</v>
      </c>
    </row>
    <row r="15" spans="1:14" ht="12.75">
      <c r="A15" s="21" t="s">
        <v>12</v>
      </c>
      <c r="B15" s="19" t="s">
        <v>966</v>
      </c>
      <c r="C15" s="19" t="s">
        <v>970</v>
      </c>
      <c r="D15" s="19" t="s">
        <v>217</v>
      </c>
      <c r="E15" s="19" t="str">
        <f>"0,6998"</f>
        <v>0,6998</v>
      </c>
      <c r="F15" s="19" t="s">
        <v>13</v>
      </c>
      <c r="G15" s="19" t="s">
        <v>968</v>
      </c>
      <c r="H15" s="20" t="s">
        <v>126</v>
      </c>
      <c r="I15" s="22" t="s">
        <v>129</v>
      </c>
      <c r="J15" s="22" t="s">
        <v>129</v>
      </c>
      <c r="K15" s="21"/>
      <c r="L15" s="27" t="str">
        <f>"270,0"</f>
        <v>270,0</v>
      </c>
      <c r="M15" s="21" t="str">
        <f>"213,4937"</f>
        <v>213,4937</v>
      </c>
      <c r="N15" s="19" t="s">
        <v>969</v>
      </c>
    </row>
    <row r="16" ht="12.75">
      <c r="B16" s="5" t="s">
        <v>29</v>
      </c>
    </row>
    <row r="17" spans="1:13" ht="15">
      <c r="A17" s="49" t="s">
        <v>105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.75">
      <c r="A18" s="14" t="s">
        <v>102</v>
      </c>
      <c r="B18" s="11" t="s">
        <v>971</v>
      </c>
      <c r="C18" s="11" t="s">
        <v>972</v>
      </c>
      <c r="D18" s="11" t="s">
        <v>973</v>
      </c>
      <c r="E18" s="11" t="str">
        <f>"0,6540"</f>
        <v>0,6540</v>
      </c>
      <c r="F18" s="11" t="s">
        <v>13</v>
      </c>
      <c r="G18" s="11" t="s">
        <v>974</v>
      </c>
      <c r="H18" s="12" t="s">
        <v>91</v>
      </c>
      <c r="I18" s="12" t="s">
        <v>125</v>
      </c>
      <c r="J18" s="12" t="s">
        <v>726</v>
      </c>
      <c r="K18" s="14"/>
      <c r="L18" s="26">
        <v>0</v>
      </c>
      <c r="M18" s="14" t="str">
        <f>"0,0000"</f>
        <v>0,0000</v>
      </c>
      <c r="N18" s="11" t="s">
        <v>47</v>
      </c>
    </row>
    <row r="19" spans="1:14" ht="12.75">
      <c r="A19" s="17" t="s">
        <v>102</v>
      </c>
      <c r="B19" s="15" t="s">
        <v>975</v>
      </c>
      <c r="C19" s="15" t="s">
        <v>976</v>
      </c>
      <c r="D19" s="15" t="s">
        <v>119</v>
      </c>
      <c r="E19" s="15" t="str">
        <f>"0,6467"</f>
        <v>0,6467</v>
      </c>
      <c r="F19" s="15" t="s">
        <v>13</v>
      </c>
      <c r="G19" s="15" t="s">
        <v>52</v>
      </c>
      <c r="H19" s="18" t="s">
        <v>129</v>
      </c>
      <c r="I19" s="18" t="s">
        <v>179</v>
      </c>
      <c r="J19" s="18" t="s">
        <v>179</v>
      </c>
      <c r="K19" s="17"/>
      <c r="L19" s="30">
        <v>0</v>
      </c>
      <c r="M19" s="17" t="str">
        <f>"0,0000"</f>
        <v>0,0000</v>
      </c>
      <c r="N19" s="15" t="s">
        <v>47</v>
      </c>
    </row>
    <row r="20" spans="1:14" ht="12.75">
      <c r="A20" s="21" t="s">
        <v>12</v>
      </c>
      <c r="B20" s="19" t="s">
        <v>977</v>
      </c>
      <c r="C20" s="19" t="s">
        <v>978</v>
      </c>
      <c r="D20" s="19" t="s">
        <v>979</v>
      </c>
      <c r="E20" s="19" t="str">
        <f>"0,6583"</f>
        <v>0,6583</v>
      </c>
      <c r="F20" s="19" t="s">
        <v>13</v>
      </c>
      <c r="G20" s="19" t="s">
        <v>52</v>
      </c>
      <c r="H20" s="20" t="s">
        <v>62</v>
      </c>
      <c r="I20" s="22" t="s">
        <v>63</v>
      </c>
      <c r="J20" s="22" t="s">
        <v>77</v>
      </c>
      <c r="K20" s="21"/>
      <c r="L20" s="27" t="str">
        <f>"160,0"</f>
        <v>160,0</v>
      </c>
      <c r="M20" s="21" t="str">
        <f>"120,8204"</f>
        <v>120,8204</v>
      </c>
      <c r="N20" s="19" t="s">
        <v>47</v>
      </c>
    </row>
    <row r="21" ht="12.75">
      <c r="B21" s="5" t="s">
        <v>29</v>
      </c>
    </row>
    <row r="22" spans="1:13" ht="15">
      <c r="A22" s="49" t="s">
        <v>120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ht="12.75">
      <c r="A23" s="10" t="s">
        <v>102</v>
      </c>
      <c r="B23" s="7" t="s">
        <v>980</v>
      </c>
      <c r="C23" s="7" t="s">
        <v>170</v>
      </c>
      <c r="D23" s="7" t="s">
        <v>729</v>
      </c>
      <c r="E23" s="7" t="str">
        <f>"0,6119"</f>
        <v>0,6119</v>
      </c>
      <c r="F23" s="7" t="s">
        <v>13</v>
      </c>
      <c r="G23" s="7" t="s">
        <v>52</v>
      </c>
      <c r="H23" s="9" t="s">
        <v>178</v>
      </c>
      <c r="I23" s="9" t="s">
        <v>178</v>
      </c>
      <c r="J23" s="9" t="s">
        <v>144</v>
      </c>
      <c r="K23" s="10"/>
      <c r="L23" s="29">
        <v>0</v>
      </c>
      <c r="M23" s="10" t="str">
        <f>"0,0000"</f>
        <v>0,0000</v>
      </c>
      <c r="N23" s="7" t="s">
        <v>981</v>
      </c>
    </row>
    <row r="24" ht="12.75">
      <c r="B24" s="5" t="s">
        <v>29</v>
      </c>
    </row>
    <row r="25" spans="1:13" ht="15">
      <c r="A25" s="49" t="s">
        <v>141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4" ht="12.75">
      <c r="A26" s="14" t="s">
        <v>12</v>
      </c>
      <c r="B26" s="11" t="s">
        <v>982</v>
      </c>
      <c r="C26" s="11" t="s">
        <v>280</v>
      </c>
      <c r="D26" s="11" t="s">
        <v>983</v>
      </c>
      <c r="E26" s="11" t="str">
        <f>"0,5864"</f>
        <v>0,5864</v>
      </c>
      <c r="F26" s="11" t="s">
        <v>13</v>
      </c>
      <c r="G26" s="11" t="s">
        <v>52</v>
      </c>
      <c r="H26" s="13" t="s">
        <v>90</v>
      </c>
      <c r="I26" s="12" t="s">
        <v>190</v>
      </c>
      <c r="J26" s="13" t="s">
        <v>190</v>
      </c>
      <c r="K26" s="14"/>
      <c r="L26" s="26" t="str">
        <f>"237,5"</f>
        <v>237,5</v>
      </c>
      <c r="M26" s="14" t="str">
        <f>"139,2581"</f>
        <v>139,2581</v>
      </c>
      <c r="N26" s="11" t="s">
        <v>984</v>
      </c>
    </row>
    <row r="27" spans="1:14" ht="12.75">
      <c r="A27" s="21" t="s">
        <v>48</v>
      </c>
      <c r="B27" s="19" t="s">
        <v>985</v>
      </c>
      <c r="C27" s="19" t="s">
        <v>986</v>
      </c>
      <c r="D27" s="19" t="s">
        <v>987</v>
      </c>
      <c r="E27" s="19" t="str">
        <f>"0,6086"</f>
        <v>0,6086</v>
      </c>
      <c r="F27" s="19" t="s">
        <v>13</v>
      </c>
      <c r="G27" s="19" t="s">
        <v>52</v>
      </c>
      <c r="H27" s="20" t="s">
        <v>77</v>
      </c>
      <c r="I27" s="20" t="s">
        <v>78</v>
      </c>
      <c r="J27" s="22" t="s">
        <v>85</v>
      </c>
      <c r="K27" s="21"/>
      <c r="L27" s="27" t="str">
        <f>"190,0"</f>
        <v>190,0</v>
      </c>
      <c r="M27" s="21" t="str">
        <f>"115,6245"</f>
        <v>115,6245</v>
      </c>
      <c r="N27" s="19" t="s">
        <v>47</v>
      </c>
    </row>
    <row r="28" ht="12.75">
      <c r="B28" s="5" t="s">
        <v>29</v>
      </c>
    </row>
    <row r="29" spans="1:13" ht="15">
      <c r="A29" s="49" t="s">
        <v>149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4" ht="12.75">
      <c r="A30" s="14" t="s">
        <v>12</v>
      </c>
      <c r="B30" s="11" t="s">
        <v>988</v>
      </c>
      <c r="C30" s="11" t="s">
        <v>989</v>
      </c>
      <c r="D30" s="11" t="s">
        <v>990</v>
      </c>
      <c r="E30" s="11" t="str">
        <f>"0,5625"</f>
        <v>0,5625</v>
      </c>
      <c r="F30" s="11" t="s">
        <v>13</v>
      </c>
      <c r="G30" s="11" t="s">
        <v>52</v>
      </c>
      <c r="H30" s="13" t="s">
        <v>186</v>
      </c>
      <c r="I30" s="12" t="s">
        <v>195</v>
      </c>
      <c r="J30" s="12" t="s">
        <v>991</v>
      </c>
      <c r="K30" s="14"/>
      <c r="L30" s="26" t="str">
        <f>"332,5"</f>
        <v>332,5</v>
      </c>
      <c r="M30" s="14" t="str">
        <f>"187,0313"</f>
        <v>187,0313</v>
      </c>
      <c r="N30" s="11" t="s">
        <v>47</v>
      </c>
    </row>
    <row r="31" spans="1:14" ht="12.75">
      <c r="A31" s="17" t="s">
        <v>48</v>
      </c>
      <c r="B31" s="15" t="s">
        <v>992</v>
      </c>
      <c r="C31" s="15" t="s">
        <v>993</v>
      </c>
      <c r="D31" s="15" t="s">
        <v>994</v>
      </c>
      <c r="E31" s="15" t="str">
        <f>"0,5683"</f>
        <v>0,5683</v>
      </c>
      <c r="F31" s="15" t="s">
        <v>13</v>
      </c>
      <c r="G31" s="15" t="s">
        <v>132</v>
      </c>
      <c r="H31" s="18" t="s">
        <v>135</v>
      </c>
      <c r="I31" s="18" t="s">
        <v>135</v>
      </c>
      <c r="J31" s="16" t="s">
        <v>135</v>
      </c>
      <c r="K31" s="17"/>
      <c r="L31" s="30" t="str">
        <f>"252,5"</f>
        <v>252,5</v>
      </c>
      <c r="M31" s="17" t="str">
        <f>"143,4958"</f>
        <v>143,4958</v>
      </c>
      <c r="N31" s="15" t="s">
        <v>995</v>
      </c>
    </row>
    <row r="32" spans="1:14" ht="12.75">
      <c r="A32" s="17" t="s">
        <v>50</v>
      </c>
      <c r="B32" s="15" t="s">
        <v>150</v>
      </c>
      <c r="C32" s="15" t="s">
        <v>222</v>
      </c>
      <c r="D32" s="15" t="s">
        <v>152</v>
      </c>
      <c r="E32" s="15" t="str">
        <f>"0,5647"</f>
        <v>0,5647</v>
      </c>
      <c r="F32" s="15" t="s">
        <v>13</v>
      </c>
      <c r="G32" s="15" t="s">
        <v>138</v>
      </c>
      <c r="H32" s="16" t="s">
        <v>124</v>
      </c>
      <c r="I32" s="18" t="s">
        <v>100</v>
      </c>
      <c r="J32" s="18" t="s">
        <v>100</v>
      </c>
      <c r="K32" s="17"/>
      <c r="L32" s="30" t="str">
        <f>"240,0"</f>
        <v>240,0</v>
      </c>
      <c r="M32" s="17" t="str">
        <f>"135,5280"</f>
        <v>135,5280</v>
      </c>
      <c r="N32" s="15" t="s">
        <v>47</v>
      </c>
    </row>
    <row r="33" spans="1:14" ht="12.75">
      <c r="A33" s="17" t="s">
        <v>102</v>
      </c>
      <c r="B33" s="15" t="s">
        <v>996</v>
      </c>
      <c r="C33" s="15" t="s">
        <v>997</v>
      </c>
      <c r="D33" s="15" t="s">
        <v>998</v>
      </c>
      <c r="E33" s="15" t="str">
        <f>"0,5635"</f>
        <v>0,5635</v>
      </c>
      <c r="F33" s="15" t="s">
        <v>13</v>
      </c>
      <c r="G33" s="15" t="s">
        <v>999</v>
      </c>
      <c r="H33" s="18" t="s">
        <v>91</v>
      </c>
      <c r="I33" s="18" t="s">
        <v>91</v>
      </c>
      <c r="J33" s="18" t="s">
        <v>125</v>
      </c>
      <c r="K33" s="17"/>
      <c r="L33" s="30">
        <v>0</v>
      </c>
      <c r="M33" s="17" t="str">
        <f>"0,0000"</f>
        <v>0,0000</v>
      </c>
      <c r="N33" s="15" t="s">
        <v>1000</v>
      </c>
    </row>
    <row r="34" spans="1:14" ht="12.75">
      <c r="A34" s="17" t="s">
        <v>12</v>
      </c>
      <c r="B34" s="15" t="s">
        <v>150</v>
      </c>
      <c r="C34" s="15" t="s">
        <v>151</v>
      </c>
      <c r="D34" s="15" t="s">
        <v>152</v>
      </c>
      <c r="E34" s="15" t="str">
        <f>"0,5647"</f>
        <v>0,5647</v>
      </c>
      <c r="F34" s="15" t="s">
        <v>13</v>
      </c>
      <c r="G34" s="15" t="s">
        <v>138</v>
      </c>
      <c r="H34" s="16" t="s">
        <v>124</v>
      </c>
      <c r="I34" s="18" t="s">
        <v>100</v>
      </c>
      <c r="J34" s="18" t="s">
        <v>100</v>
      </c>
      <c r="K34" s="17"/>
      <c r="L34" s="30" t="str">
        <f>"240,0"</f>
        <v>240,0</v>
      </c>
      <c r="M34" s="17" t="str">
        <f>"141,3557"</f>
        <v>141,3557</v>
      </c>
      <c r="N34" s="15" t="s">
        <v>47</v>
      </c>
    </row>
    <row r="35" spans="1:14" ht="12.75">
      <c r="A35" s="17" t="s">
        <v>102</v>
      </c>
      <c r="B35" s="15" t="s">
        <v>996</v>
      </c>
      <c r="C35" s="15" t="s">
        <v>1001</v>
      </c>
      <c r="D35" s="15" t="s">
        <v>998</v>
      </c>
      <c r="E35" s="15" t="str">
        <f>"0,5635"</f>
        <v>0,5635</v>
      </c>
      <c r="F35" s="15" t="s">
        <v>13</v>
      </c>
      <c r="G35" s="15" t="s">
        <v>999</v>
      </c>
      <c r="H35" s="18" t="s">
        <v>91</v>
      </c>
      <c r="I35" s="18" t="s">
        <v>91</v>
      </c>
      <c r="J35" s="18" t="s">
        <v>125</v>
      </c>
      <c r="K35" s="17"/>
      <c r="L35" s="30">
        <v>0</v>
      </c>
      <c r="M35" s="17" t="str">
        <f>"0,0000"</f>
        <v>0,0000</v>
      </c>
      <c r="N35" s="15" t="s">
        <v>1000</v>
      </c>
    </row>
    <row r="36" spans="1:14" ht="12.75">
      <c r="A36" s="17" t="s">
        <v>12</v>
      </c>
      <c r="B36" s="15" t="s">
        <v>1002</v>
      </c>
      <c r="C36" s="15" t="s">
        <v>1003</v>
      </c>
      <c r="D36" s="15" t="s">
        <v>221</v>
      </c>
      <c r="E36" s="15" t="str">
        <f>"0,5634"</f>
        <v>0,5634</v>
      </c>
      <c r="F36" s="15" t="s">
        <v>97</v>
      </c>
      <c r="G36" s="15" t="s">
        <v>1004</v>
      </c>
      <c r="H36" s="18" t="s">
        <v>185</v>
      </c>
      <c r="I36" s="16" t="s">
        <v>185</v>
      </c>
      <c r="J36" s="16" t="s">
        <v>196</v>
      </c>
      <c r="K36" s="18" t="s">
        <v>194</v>
      </c>
      <c r="L36" s="30" t="str">
        <f>"320,0"</f>
        <v>320,0</v>
      </c>
      <c r="M36" s="17" t="str">
        <f>"220,8332"</f>
        <v>220,8332</v>
      </c>
      <c r="N36" s="15" t="s">
        <v>231</v>
      </c>
    </row>
    <row r="37" spans="1:14" ht="12.75">
      <c r="A37" s="21" t="s">
        <v>12</v>
      </c>
      <c r="B37" s="19" t="s">
        <v>829</v>
      </c>
      <c r="C37" s="19" t="s">
        <v>830</v>
      </c>
      <c r="D37" s="19" t="s">
        <v>831</v>
      </c>
      <c r="E37" s="19" t="str">
        <f>"0,5727"</f>
        <v>0,5727</v>
      </c>
      <c r="F37" s="19" t="s">
        <v>13</v>
      </c>
      <c r="G37" s="19" t="s">
        <v>260</v>
      </c>
      <c r="H37" s="20" t="s">
        <v>85</v>
      </c>
      <c r="I37" s="21"/>
      <c r="J37" s="21"/>
      <c r="K37" s="21"/>
      <c r="L37" s="27" t="str">
        <f>"200,0"</f>
        <v>200,0</v>
      </c>
      <c r="M37" s="21" t="str">
        <f>"153,4970"</f>
        <v>153,4970</v>
      </c>
      <c r="N37" s="19" t="s">
        <v>47</v>
      </c>
    </row>
    <row r="38" ht="12.75">
      <c r="B38" s="5" t="s">
        <v>29</v>
      </c>
    </row>
    <row r="39" spans="1:13" ht="15">
      <c r="A39" s="49" t="s">
        <v>153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4" ht="12.75">
      <c r="A40" s="14" t="s">
        <v>12</v>
      </c>
      <c r="B40" s="11" t="s">
        <v>1005</v>
      </c>
      <c r="C40" s="11" t="s">
        <v>154</v>
      </c>
      <c r="D40" s="11" t="s">
        <v>1006</v>
      </c>
      <c r="E40" s="11" t="str">
        <f>"0,5462"</f>
        <v>0,5462</v>
      </c>
      <c r="F40" s="11" t="s">
        <v>13</v>
      </c>
      <c r="G40" s="11" t="s">
        <v>1007</v>
      </c>
      <c r="H40" s="13" t="s">
        <v>185</v>
      </c>
      <c r="I40" s="13" t="s">
        <v>203</v>
      </c>
      <c r="J40" s="13" t="s">
        <v>234</v>
      </c>
      <c r="K40" s="12" t="s">
        <v>195</v>
      </c>
      <c r="L40" s="26" t="str">
        <f>"335,0"</f>
        <v>335,0</v>
      </c>
      <c r="M40" s="14" t="str">
        <f>"182,9937"</f>
        <v>182,9937</v>
      </c>
      <c r="N40" s="11" t="s">
        <v>47</v>
      </c>
    </row>
    <row r="41" spans="1:14" ht="12.75">
      <c r="A41" s="17" t="s">
        <v>12</v>
      </c>
      <c r="B41" s="15" t="s">
        <v>1008</v>
      </c>
      <c r="C41" s="15" t="s">
        <v>1009</v>
      </c>
      <c r="D41" s="15" t="s">
        <v>1010</v>
      </c>
      <c r="E41" s="15" t="str">
        <f>"0,5519"</f>
        <v>0,5519</v>
      </c>
      <c r="F41" s="15" t="s">
        <v>13</v>
      </c>
      <c r="G41" s="15" t="s">
        <v>999</v>
      </c>
      <c r="H41" s="16" t="s">
        <v>129</v>
      </c>
      <c r="I41" s="16" t="s">
        <v>179</v>
      </c>
      <c r="J41" s="18" t="s">
        <v>130</v>
      </c>
      <c r="K41" s="17"/>
      <c r="L41" s="30" t="str">
        <f>"300,0"</f>
        <v>300,0</v>
      </c>
      <c r="M41" s="17" t="str">
        <f>"165,5550"</f>
        <v>165,5550</v>
      </c>
      <c r="N41" s="15" t="s">
        <v>47</v>
      </c>
    </row>
    <row r="42" spans="1:14" ht="12.75">
      <c r="A42" s="17" t="s">
        <v>48</v>
      </c>
      <c r="B42" s="15" t="s">
        <v>803</v>
      </c>
      <c r="C42" s="15" t="s">
        <v>804</v>
      </c>
      <c r="D42" s="15" t="s">
        <v>1011</v>
      </c>
      <c r="E42" s="15" t="str">
        <f>"0,5623"</f>
        <v>0,5623</v>
      </c>
      <c r="F42" s="15" t="s">
        <v>13</v>
      </c>
      <c r="G42" s="15" t="s">
        <v>206</v>
      </c>
      <c r="H42" s="16" t="s">
        <v>65</v>
      </c>
      <c r="I42" s="16" t="s">
        <v>90</v>
      </c>
      <c r="J42" s="16" t="s">
        <v>124</v>
      </c>
      <c r="K42" s="17"/>
      <c r="L42" s="30" t="str">
        <f>"240,0"</f>
        <v>240,0</v>
      </c>
      <c r="M42" s="17" t="str">
        <f>"134,9640"</f>
        <v>134,9640</v>
      </c>
      <c r="N42" s="15" t="s">
        <v>47</v>
      </c>
    </row>
    <row r="43" spans="1:14" ht="12.75">
      <c r="A43" s="21" t="s">
        <v>12</v>
      </c>
      <c r="B43" s="19" t="s">
        <v>1008</v>
      </c>
      <c r="C43" s="19" t="s">
        <v>1012</v>
      </c>
      <c r="D43" s="19" t="s">
        <v>1010</v>
      </c>
      <c r="E43" s="19" t="str">
        <f>"0,5519"</f>
        <v>0,5519</v>
      </c>
      <c r="F43" s="19" t="s">
        <v>13</v>
      </c>
      <c r="G43" s="19" t="s">
        <v>999</v>
      </c>
      <c r="H43" s="20" t="s">
        <v>129</v>
      </c>
      <c r="I43" s="20" t="s">
        <v>179</v>
      </c>
      <c r="J43" s="22" t="s">
        <v>130</v>
      </c>
      <c r="K43" s="21"/>
      <c r="L43" s="27" t="str">
        <f>"300,0"</f>
        <v>300,0</v>
      </c>
      <c r="M43" s="21" t="str">
        <f>"170,6872"</f>
        <v>170,6872</v>
      </c>
      <c r="N43" s="19" t="s">
        <v>47</v>
      </c>
    </row>
    <row r="44" ht="12.75">
      <c r="B44" s="5" t="s">
        <v>29</v>
      </c>
    </row>
    <row r="45" spans="1:13" ht="15">
      <c r="A45" s="49" t="s">
        <v>197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4" ht="12.75">
      <c r="A46" s="14" t="s">
        <v>12</v>
      </c>
      <c r="B46" s="11" t="s">
        <v>1013</v>
      </c>
      <c r="C46" s="11" t="s">
        <v>1014</v>
      </c>
      <c r="D46" s="11" t="s">
        <v>629</v>
      </c>
      <c r="E46" s="11" t="str">
        <f>"0,5421"</f>
        <v>0,5421</v>
      </c>
      <c r="F46" s="11" t="s">
        <v>13</v>
      </c>
      <c r="G46" s="11" t="s">
        <v>52</v>
      </c>
      <c r="H46" s="13" t="s">
        <v>200</v>
      </c>
      <c r="I46" s="12" t="s">
        <v>1015</v>
      </c>
      <c r="J46" s="13" t="s">
        <v>1015</v>
      </c>
      <c r="K46" s="14"/>
      <c r="L46" s="26" t="str">
        <f>"372,5"</f>
        <v>372,5</v>
      </c>
      <c r="M46" s="14" t="str">
        <f>"201,9323"</f>
        <v>201,9323</v>
      </c>
      <c r="N46" s="11" t="s">
        <v>47</v>
      </c>
    </row>
    <row r="47" spans="1:14" ht="12.75">
      <c r="A47" s="21" t="s">
        <v>48</v>
      </c>
      <c r="B47" s="19" t="s">
        <v>1016</v>
      </c>
      <c r="C47" s="19" t="s">
        <v>1017</v>
      </c>
      <c r="D47" s="19" t="s">
        <v>1018</v>
      </c>
      <c r="E47" s="19" t="str">
        <f>"0,5354"</f>
        <v>0,5354</v>
      </c>
      <c r="F47" s="19" t="s">
        <v>97</v>
      </c>
      <c r="G47" s="19" t="s">
        <v>211</v>
      </c>
      <c r="H47" s="20" t="s">
        <v>179</v>
      </c>
      <c r="I47" s="20" t="s">
        <v>233</v>
      </c>
      <c r="J47" s="22" t="s">
        <v>186</v>
      </c>
      <c r="K47" s="21"/>
      <c r="L47" s="27" t="str">
        <f>"322,5"</f>
        <v>322,5</v>
      </c>
      <c r="M47" s="21" t="str">
        <f>"172,6713"</f>
        <v>172,6713</v>
      </c>
      <c r="N47" s="19" t="s">
        <v>1019</v>
      </c>
    </row>
    <row r="48" ht="12.75">
      <c r="B48" s="5" t="s">
        <v>29</v>
      </c>
    </row>
    <row r="49" spans="2:6" ht="15">
      <c r="B49" s="5" t="s">
        <v>29</v>
      </c>
      <c r="F49" s="23"/>
    </row>
    <row r="50" ht="12.75">
      <c r="B50" s="5" t="s">
        <v>29</v>
      </c>
    </row>
    <row r="51" spans="2:7" ht="18">
      <c r="B51" s="24" t="s">
        <v>155</v>
      </c>
      <c r="C51" s="24"/>
      <c r="G51" s="3"/>
    </row>
    <row r="52" spans="2:7" ht="15">
      <c r="B52" s="43" t="s">
        <v>156</v>
      </c>
      <c r="C52" s="43"/>
      <c r="G52" s="3"/>
    </row>
    <row r="53" spans="2:7" ht="14.25">
      <c r="B53" s="25"/>
      <c r="C53" s="25" t="s">
        <v>166</v>
      </c>
      <c r="G53" s="3"/>
    </row>
    <row r="54" spans="2:7" ht="15">
      <c r="B54" s="4" t="s">
        <v>158</v>
      </c>
      <c r="C54" s="4" t="s">
        <v>159</v>
      </c>
      <c r="D54" s="4" t="s">
        <v>160</v>
      </c>
      <c r="E54" s="4" t="s">
        <v>283</v>
      </c>
      <c r="F54" s="4" t="s">
        <v>952</v>
      </c>
      <c r="G54" s="3"/>
    </row>
    <row r="55" spans="2:7" ht="12.75">
      <c r="B55" s="5" t="s">
        <v>1013</v>
      </c>
      <c r="C55" s="5" t="s">
        <v>166</v>
      </c>
      <c r="D55" s="6" t="s">
        <v>204</v>
      </c>
      <c r="E55" s="6" t="s">
        <v>1015</v>
      </c>
      <c r="F55" s="6" t="s">
        <v>1020</v>
      </c>
      <c r="G55" s="3"/>
    </row>
    <row r="56" spans="2:7" ht="12.75">
      <c r="B56" s="5" t="s">
        <v>966</v>
      </c>
      <c r="C56" s="5" t="s">
        <v>166</v>
      </c>
      <c r="D56" s="6" t="s">
        <v>163</v>
      </c>
      <c r="E56" s="6" t="s">
        <v>126</v>
      </c>
      <c r="F56" s="6" t="s">
        <v>1021</v>
      </c>
      <c r="G56" s="3"/>
    </row>
    <row r="57" spans="2:7" ht="12.75">
      <c r="B57" s="5" t="s">
        <v>988</v>
      </c>
      <c r="C57" s="5" t="s">
        <v>166</v>
      </c>
      <c r="D57" s="6" t="s">
        <v>271</v>
      </c>
      <c r="E57" s="6" t="s">
        <v>186</v>
      </c>
      <c r="F57" s="6" t="s">
        <v>1022</v>
      </c>
      <c r="G57" s="3"/>
    </row>
  </sheetData>
  <sheetProtection/>
  <mergeCells count="21">
    <mergeCell ref="A45:M45"/>
    <mergeCell ref="L3:L4"/>
    <mergeCell ref="M3:M4"/>
    <mergeCell ref="N3:N4"/>
    <mergeCell ref="A5:M5"/>
    <mergeCell ref="A9:M9"/>
    <mergeCell ref="A13:M13"/>
    <mergeCell ref="B3:B4"/>
    <mergeCell ref="A17:M17"/>
    <mergeCell ref="A22:M22"/>
    <mergeCell ref="A25:M25"/>
    <mergeCell ref="A29:M29"/>
    <mergeCell ref="A39:M39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15" sqref="F15"/>
    </sheetView>
  </sheetViews>
  <sheetFormatPr defaultColWidth="9.125" defaultRowHeight="12.75"/>
  <cols>
    <col min="1" max="1" width="7.375" style="6" bestFit="1" customWidth="1"/>
    <col min="2" max="2" width="23.25390625" style="5" bestFit="1" customWidth="1"/>
    <col min="3" max="3" width="27.375" style="5" bestFit="1" customWidth="1"/>
    <col min="4" max="4" width="15.375" style="5" customWidth="1"/>
    <col min="5" max="5" width="10.375" style="5" bestFit="1" customWidth="1"/>
    <col min="6" max="6" width="16.875" style="5" customWidth="1"/>
    <col min="7" max="7" width="21.375" style="5" customWidth="1"/>
    <col min="8" max="11" width="5.375" style="6" bestFit="1" customWidth="1"/>
    <col min="12" max="12" width="11.25390625" style="6" bestFit="1" customWidth="1"/>
    <col min="13" max="13" width="8.375" style="6" bestFit="1" customWidth="1"/>
    <col min="14" max="14" width="23.125" style="5" customWidth="1"/>
    <col min="15" max="16384" width="9.125" style="3" customWidth="1"/>
  </cols>
  <sheetData>
    <row r="1" spans="1:14" s="2" customFormat="1" ht="28.5" customHeight="1">
      <c r="A1" s="51" t="s">
        <v>1023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896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2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1"/>
      <c r="M4" s="61"/>
      <c r="N4" s="46"/>
    </row>
    <row r="5" spans="1:13" ht="15">
      <c r="A5" s="47" t="s">
        <v>105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1024</v>
      </c>
      <c r="C6" s="7" t="s">
        <v>1025</v>
      </c>
      <c r="D6" s="7" t="s">
        <v>274</v>
      </c>
      <c r="E6" s="7" t="str">
        <f>"0,6446"</f>
        <v>0,6446</v>
      </c>
      <c r="F6" s="7" t="s">
        <v>13</v>
      </c>
      <c r="G6" s="7" t="s">
        <v>437</v>
      </c>
      <c r="H6" s="9" t="s">
        <v>196</v>
      </c>
      <c r="I6" s="8" t="s">
        <v>194</v>
      </c>
      <c r="J6" s="8" t="s">
        <v>225</v>
      </c>
      <c r="K6" s="9" t="s">
        <v>1026</v>
      </c>
      <c r="L6" s="10" t="str">
        <f>"340,0"</f>
        <v>340,0</v>
      </c>
      <c r="M6" s="10" t="str">
        <f>"219,1640"</f>
        <v>219,1640</v>
      </c>
      <c r="N6" s="7" t="s">
        <v>1027</v>
      </c>
    </row>
    <row r="7" ht="12.75">
      <c r="B7" s="5" t="s">
        <v>29</v>
      </c>
    </row>
    <row r="8" spans="1:13" ht="15">
      <c r="A8" s="49" t="s">
        <v>149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4" t="s">
        <v>12</v>
      </c>
      <c r="B9" s="11" t="s">
        <v>150</v>
      </c>
      <c r="C9" s="11" t="s">
        <v>222</v>
      </c>
      <c r="D9" s="11" t="s">
        <v>152</v>
      </c>
      <c r="E9" s="11" t="str">
        <f>"0,5647"</f>
        <v>0,5647</v>
      </c>
      <c r="F9" s="11" t="s">
        <v>13</v>
      </c>
      <c r="G9" s="11" t="s">
        <v>138</v>
      </c>
      <c r="H9" s="13" t="s">
        <v>124</v>
      </c>
      <c r="I9" s="12" t="s">
        <v>100</v>
      </c>
      <c r="J9" s="12" t="s">
        <v>100</v>
      </c>
      <c r="K9" s="14"/>
      <c r="L9" s="14" t="str">
        <f>"240,0"</f>
        <v>240,0</v>
      </c>
      <c r="M9" s="14" t="str">
        <f>"135,5280"</f>
        <v>135,5280</v>
      </c>
      <c r="N9" s="11" t="s">
        <v>47</v>
      </c>
    </row>
    <row r="10" spans="1:14" ht="12.75">
      <c r="A10" s="21" t="s">
        <v>12</v>
      </c>
      <c r="B10" s="19" t="s">
        <v>150</v>
      </c>
      <c r="C10" s="19" t="s">
        <v>151</v>
      </c>
      <c r="D10" s="19" t="s">
        <v>152</v>
      </c>
      <c r="E10" s="19" t="str">
        <f>"0,5647"</f>
        <v>0,5647</v>
      </c>
      <c r="F10" s="19" t="s">
        <v>13</v>
      </c>
      <c r="G10" s="19" t="s">
        <v>138</v>
      </c>
      <c r="H10" s="20" t="s">
        <v>124</v>
      </c>
      <c r="I10" s="22" t="s">
        <v>100</v>
      </c>
      <c r="J10" s="22" t="s">
        <v>100</v>
      </c>
      <c r="K10" s="21"/>
      <c r="L10" s="21" t="str">
        <f>"240,0"</f>
        <v>240,0</v>
      </c>
      <c r="M10" s="21" t="str">
        <f>"141,3557"</f>
        <v>141,3557</v>
      </c>
      <c r="N10" s="19" t="s">
        <v>47</v>
      </c>
    </row>
    <row r="11" ht="12.75">
      <c r="B11" s="5" t="s">
        <v>29</v>
      </c>
    </row>
    <row r="12" ht="12.75">
      <c r="B12" s="5" t="s">
        <v>29</v>
      </c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15" sqref="F15"/>
    </sheetView>
  </sheetViews>
  <sheetFormatPr defaultColWidth="9.125" defaultRowHeight="12.75"/>
  <cols>
    <col min="1" max="1" width="7.375" style="6" bestFit="1" customWidth="1"/>
    <col min="2" max="2" width="20.75390625" style="5" bestFit="1" customWidth="1"/>
    <col min="3" max="3" width="27.375" style="5" bestFit="1" customWidth="1"/>
    <col min="4" max="4" width="15.875" style="5" customWidth="1"/>
    <col min="5" max="5" width="10.375" style="5" bestFit="1" customWidth="1"/>
    <col min="6" max="6" width="15.375" style="5" customWidth="1"/>
    <col min="7" max="7" width="22.25390625" style="5" customWidth="1"/>
    <col min="8" max="10" width="5.375" style="6" bestFit="1" customWidth="1"/>
    <col min="11" max="11" width="4.875" style="6" bestFit="1" customWidth="1"/>
    <col min="12" max="12" width="11.25390625" style="6" bestFit="1" customWidth="1"/>
    <col min="13" max="13" width="8.375" style="6" bestFit="1" customWidth="1"/>
    <col min="14" max="14" width="25.00390625" style="5" customWidth="1"/>
    <col min="15" max="16384" width="9.125" style="3" customWidth="1"/>
  </cols>
  <sheetData>
    <row r="1" spans="1:14" s="2" customFormat="1" ht="28.5" customHeight="1">
      <c r="A1" s="51" t="s">
        <v>1028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1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>
      <c r="A3" s="58" t="s">
        <v>0</v>
      </c>
      <c r="B3" s="63" t="s">
        <v>1</v>
      </c>
      <c r="C3" s="60" t="s">
        <v>2</v>
      </c>
      <c r="D3" s="60" t="s">
        <v>3</v>
      </c>
      <c r="E3" s="62" t="s">
        <v>896</v>
      </c>
      <c r="F3" s="62" t="s">
        <v>5</v>
      </c>
      <c r="G3" s="62" t="s">
        <v>6</v>
      </c>
      <c r="H3" s="62" t="s">
        <v>7</v>
      </c>
      <c r="I3" s="62"/>
      <c r="J3" s="62"/>
      <c r="K3" s="62"/>
      <c r="L3" s="62" t="s">
        <v>283</v>
      </c>
      <c r="M3" s="62" t="s">
        <v>8</v>
      </c>
      <c r="N3" s="45" t="s">
        <v>9</v>
      </c>
    </row>
    <row r="4" spans="1:14" s="1" customFormat="1" ht="21" customHeight="1" thickBot="1">
      <c r="A4" s="59"/>
      <c r="B4" s="64"/>
      <c r="C4" s="61"/>
      <c r="D4" s="61"/>
      <c r="E4" s="61"/>
      <c r="F4" s="61"/>
      <c r="G4" s="61"/>
      <c r="H4" s="44">
        <v>1</v>
      </c>
      <c r="I4" s="44">
        <v>2</v>
      </c>
      <c r="J4" s="44">
        <v>3</v>
      </c>
      <c r="K4" s="44" t="s">
        <v>10</v>
      </c>
      <c r="L4" s="61"/>
      <c r="M4" s="61"/>
      <c r="N4" s="46"/>
    </row>
    <row r="5" spans="1:13" ht="15">
      <c r="A5" s="47" t="s">
        <v>120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ht="12.75">
      <c r="A6" s="10" t="s">
        <v>12</v>
      </c>
      <c r="B6" s="7" t="s">
        <v>1029</v>
      </c>
      <c r="C6" s="7" t="s">
        <v>1030</v>
      </c>
      <c r="D6" s="7" t="s">
        <v>1031</v>
      </c>
      <c r="E6" s="7" t="str">
        <f>"0,6338"</f>
        <v>0,6338</v>
      </c>
      <c r="F6" s="7" t="s">
        <v>13</v>
      </c>
      <c r="G6" s="7" t="s">
        <v>1032</v>
      </c>
      <c r="H6" s="8" t="s">
        <v>55</v>
      </c>
      <c r="I6" s="8" t="s">
        <v>68</v>
      </c>
      <c r="J6" s="9" t="s">
        <v>73</v>
      </c>
      <c r="K6" s="10"/>
      <c r="L6" s="10" t="str">
        <f>"115,0"</f>
        <v>115,0</v>
      </c>
      <c r="M6" s="10" t="str">
        <f>"72,8813"</f>
        <v>72,8813</v>
      </c>
      <c r="N6" s="7" t="s">
        <v>1033</v>
      </c>
    </row>
    <row r="7" ht="12.75">
      <c r="B7" s="5" t="s">
        <v>29</v>
      </c>
    </row>
    <row r="8" spans="1:13" ht="15">
      <c r="A8" s="49" t="s">
        <v>149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2.75">
      <c r="A9" s="14" t="s">
        <v>12</v>
      </c>
      <c r="B9" s="11" t="s">
        <v>829</v>
      </c>
      <c r="C9" s="11" t="s">
        <v>1034</v>
      </c>
      <c r="D9" s="11" t="s">
        <v>192</v>
      </c>
      <c r="E9" s="11" t="str">
        <f>"0,5731"</f>
        <v>0,5731</v>
      </c>
      <c r="F9" s="11" t="s">
        <v>13</v>
      </c>
      <c r="G9" s="11" t="s">
        <v>260</v>
      </c>
      <c r="H9" s="13" t="s">
        <v>75</v>
      </c>
      <c r="I9" s="14"/>
      <c r="J9" s="14"/>
      <c r="K9" s="14"/>
      <c r="L9" s="14" t="str">
        <f>"140,0"</f>
        <v>140,0</v>
      </c>
      <c r="M9" s="14" t="str">
        <f>"80,2410"</f>
        <v>80,2410</v>
      </c>
      <c r="N9" s="11" t="s">
        <v>47</v>
      </c>
    </row>
    <row r="10" spans="1:14" ht="12.75">
      <c r="A10" s="17" t="s">
        <v>12</v>
      </c>
      <c r="B10" s="15" t="s">
        <v>1035</v>
      </c>
      <c r="C10" s="15" t="s">
        <v>1036</v>
      </c>
      <c r="D10" s="15" t="s">
        <v>1037</v>
      </c>
      <c r="E10" s="15" t="str">
        <f>"0,5785"</f>
        <v>0,5785</v>
      </c>
      <c r="F10" s="15" t="s">
        <v>13</v>
      </c>
      <c r="G10" s="15" t="s">
        <v>1038</v>
      </c>
      <c r="H10" s="16" t="s">
        <v>68</v>
      </c>
      <c r="I10" s="16" t="s">
        <v>45</v>
      </c>
      <c r="J10" s="16" t="s">
        <v>59</v>
      </c>
      <c r="K10" s="17"/>
      <c r="L10" s="17" t="str">
        <f>"125,0"</f>
        <v>125,0</v>
      </c>
      <c r="M10" s="17" t="str">
        <f>"77,2297"</f>
        <v>77,2297</v>
      </c>
      <c r="N10" s="15" t="s">
        <v>47</v>
      </c>
    </row>
    <row r="11" spans="1:14" ht="12.75">
      <c r="A11" s="21" t="s">
        <v>12</v>
      </c>
      <c r="B11" s="19" t="s">
        <v>829</v>
      </c>
      <c r="C11" s="19" t="s">
        <v>830</v>
      </c>
      <c r="D11" s="19" t="s">
        <v>192</v>
      </c>
      <c r="E11" s="19" t="str">
        <f>"0,5731"</f>
        <v>0,5731</v>
      </c>
      <c r="F11" s="19" t="s">
        <v>13</v>
      </c>
      <c r="G11" s="19" t="s">
        <v>260</v>
      </c>
      <c r="H11" s="20" t="s">
        <v>75</v>
      </c>
      <c r="I11" s="21"/>
      <c r="J11" s="21"/>
      <c r="K11" s="21"/>
      <c r="L11" s="21" t="str">
        <f>"140,0"</f>
        <v>140,0</v>
      </c>
      <c r="M11" s="21" t="str">
        <f>"107,5229"</f>
        <v>107,5229</v>
      </c>
      <c r="N11" s="19" t="s">
        <v>47</v>
      </c>
    </row>
    <row r="12" ht="12.75">
      <c r="B12" s="5" t="s">
        <v>29</v>
      </c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2019-05-27T12:12:22Z</dcterms:modified>
  <cp:category/>
  <cp:version/>
  <cp:contentType/>
  <cp:contentStatus/>
</cp:coreProperties>
</file>