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20" tabRatio="601" firstSheet="5" activeTab="5"/>
  </bookViews>
  <sheets>
    <sheet name="WRPF PL DT" sheetId="1" r:id="rId1"/>
    <sheet name="WRPF PL" sheetId="2" r:id="rId2"/>
    <sheet name="WRPF PL Classic DT" sheetId="3" r:id="rId3"/>
    <sheet name="WRPF PL Classic" sheetId="4" r:id="rId4"/>
    <sheet name="WRPF Push Pull DT" sheetId="5" r:id="rId5"/>
    <sheet name="WRPF FBP 1_2 DT" sheetId="6" r:id="rId6"/>
    <sheet name="WRPF FBP 1 DT" sheetId="7" r:id="rId7"/>
  </sheets>
  <definedNames/>
  <calcPr fullCalcOnLoad="1"/>
</workbook>
</file>

<file path=xl/sharedStrings.xml><?xml version="1.0" encoding="utf-8"?>
<sst xmlns="http://schemas.openxmlformats.org/spreadsheetml/2006/main" count="6253" uniqueCount="1712">
  <si>
    <t>Wilks</t>
  </si>
  <si>
    <t>Пырина Мария</t>
  </si>
  <si>
    <t>48,70</t>
  </si>
  <si>
    <t>70,0</t>
  </si>
  <si>
    <t>80,0</t>
  </si>
  <si>
    <t>35,0</t>
  </si>
  <si>
    <t>40,0</t>
  </si>
  <si>
    <t>85,0</t>
  </si>
  <si>
    <t>90,0</t>
  </si>
  <si>
    <t xml:space="preserve">Лазариди Георгий </t>
  </si>
  <si>
    <t>Артамонова Евгения</t>
  </si>
  <si>
    <t>56,00</t>
  </si>
  <si>
    <t>110,0</t>
  </si>
  <si>
    <t>0,0</t>
  </si>
  <si>
    <t xml:space="preserve">Артамонов Егор </t>
  </si>
  <si>
    <t>Радюк Анна</t>
  </si>
  <si>
    <t>60,00</t>
  </si>
  <si>
    <t>160,0</t>
  </si>
  <si>
    <t>170,0</t>
  </si>
  <si>
    <t>87,5</t>
  </si>
  <si>
    <t>95,0</t>
  </si>
  <si>
    <t>100,0</t>
  </si>
  <si>
    <t>155,0</t>
  </si>
  <si>
    <t>165,0</t>
  </si>
  <si>
    <t>172,5</t>
  </si>
  <si>
    <t xml:space="preserve">Обухович Александр </t>
  </si>
  <si>
    <t>Васюк Яна</t>
  </si>
  <si>
    <t>62,70</t>
  </si>
  <si>
    <t>130,0</t>
  </si>
  <si>
    <t>145,0</t>
  </si>
  <si>
    <t>150,0</t>
  </si>
  <si>
    <t>45,0</t>
  </si>
  <si>
    <t>50,0</t>
  </si>
  <si>
    <t>55,0</t>
  </si>
  <si>
    <t>120,0</t>
  </si>
  <si>
    <t>140,0</t>
  </si>
  <si>
    <t xml:space="preserve">Писаревский Алексей </t>
  </si>
  <si>
    <t>Харина Валентина</t>
  </si>
  <si>
    <t>65,30</t>
  </si>
  <si>
    <t>105,0</t>
  </si>
  <si>
    <t>107,5</t>
  </si>
  <si>
    <t xml:space="preserve">самостоятельно </t>
  </si>
  <si>
    <t>Епихина Виктория</t>
  </si>
  <si>
    <t>64,00</t>
  </si>
  <si>
    <t>125,0</t>
  </si>
  <si>
    <t>135,0</t>
  </si>
  <si>
    <t>82,5</t>
  </si>
  <si>
    <t>92,5</t>
  </si>
  <si>
    <t>147,5</t>
  </si>
  <si>
    <t>162,5</t>
  </si>
  <si>
    <t xml:space="preserve">Папенков Павел </t>
  </si>
  <si>
    <t>Онищенко Анастасия</t>
  </si>
  <si>
    <t>64,60</t>
  </si>
  <si>
    <t>60,0</t>
  </si>
  <si>
    <t>67,5</t>
  </si>
  <si>
    <t>175,0</t>
  </si>
  <si>
    <t>Астахова Елена</t>
  </si>
  <si>
    <t>64,80</t>
  </si>
  <si>
    <t>75,0</t>
  </si>
  <si>
    <t>Морозова Марина</t>
  </si>
  <si>
    <t>73,60</t>
  </si>
  <si>
    <t xml:space="preserve">Волгоград/Волгоградская область </t>
  </si>
  <si>
    <t>212,5</t>
  </si>
  <si>
    <t>220,0</t>
  </si>
  <si>
    <t>190,0</t>
  </si>
  <si>
    <t>200,0</t>
  </si>
  <si>
    <t>210,0</t>
  </si>
  <si>
    <t xml:space="preserve">Медведева Юлия </t>
  </si>
  <si>
    <t>Нестерова Дарья</t>
  </si>
  <si>
    <t>80,60</t>
  </si>
  <si>
    <t>185,0</t>
  </si>
  <si>
    <t>97,5</t>
  </si>
  <si>
    <t>182,5</t>
  </si>
  <si>
    <t xml:space="preserve">Сивоконь Алексей </t>
  </si>
  <si>
    <t>Роднина Анна</t>
  </si>
  <si>
    <t>77,40</t>
  </si>
  <si>
    <t>180,0</t>
  </si>
  <si>
    <t xml:space="preserve">Роднин Роман </t>
  </si>
  <si>
    <t>Hanuka Barel</t>
  </si>
  <si>
    <t>66,00</t>
  </si>
  <si>
    <t>203,0</t>
  </si>
  <si>
    <t>Sosin Freddy</t>
  </si>
  <si>
    <t>66,40</t>
  </si>
  <si>
    <t>230,0</t>
  </si>
  <si>
    <t>215,0</t>
  </si>
  <si>
    <t>Кистанов Дмитрий</t>
  </si>
  <si>
    <t>66,60</t>
  </si>
  <si>
    <t>Еловицкий Игорь</t>
  </si>
  <si>
    <t>66,50</t>
  </si>
  <si>
    <t>Ansari Mohammedirfan</t>
  </si>
  <si>
    <t>74,30</t>
  </si>
  <si>
    <t>205,0</t>
  </si>
  <si>
    <t xml:space="preserve">Вишалк Хана </t>
  </si>
  <si>
    <t>Кучерявых Петр</t>
  </si>
  <si>
    <t>72,30</t>
  </si>
  <si>
    <t>225,0</t>
  </si>
  <si>
    <t>235,0</t>
  </si>
  <si>
    <t>252,5</t>
  </si>
  <si>
    <t>272,5</t>
  </si>
  <si>
    <t>282,5</t>
  </si>
  <si>
    <t xml:space="preserve">Мамбетов Рустам </t>
  </si>
  <si>
    <t>Шишкин Денис</t>
  </si>
  <si>
    <t>73,00</t>
  </si>
  <si>
    <t>157,5</t>
  </si>
  <si>
    <t>240,0</t>
  </si>
  <si>
    <t>260,0</t>
  </si>
  <si>
    <t>270,0</t>
  </si>
  <si>
    <t xml:space="preserve">Саранский Сергей </t>
  </si>
  <si>
    <t>Давыдов Дмитрий</t>
  </si>
  <si>
    <t>74,60</t>
  </si>
  <si>
    <t xml:space="preserve">Швецов Павел </t>
  </si>
  <si>
    <t>Алтунин Николай</t>
  </si>
  <si>
    <t>74,00</t>
  </si>
  <si>
    <t>132,5</t>
  </si>
  <si>
    <t>137,5</t>
  </si>
  <si>
    <t>242,5</t>
  </si>
  <si>
    <t>TUMURBAATAR CHAKHAR</t>
  </si>
  <si>
    <t>Зимин Ярослав</t>
  </si>
  <si>
    <t>82,30</t>
  </si>
  <si>
    <t>152,5</t>
  </si>
  <si>
    <t>245,0</t>
  </si>
  <si>
    <t>280,0</t>
  </si>
  <si>
    <t>Бортник Артем</t>
  </si>
  <si>
    <t>79,00</t>
  </si>
  <si>
    <t>250,0</t>
  </si>
  <si>
    <t>265,0</t>
  </si>
  <si>
    <t>Хашпаков Муса</t>
  </si>
  <si>
    <t>82,50</t>
  </si>
  <si>
    <t>222,5</t>
  </si>
  <si>
    <t xml:space="preserve">Губжев Бетал </t>
  </si>
  <si>
    <t>Шестаков Николай</t>
  </si>
  <si>
    <t>82,40</t>
  </si>
  <si>
    <t>167,5</t>
  </si>
  <si>
    <t>Мик Сергей</t>
  </si>
  <si>
    <t>81,40</t>
  </si>
  <si>
    <t>275,0</t>
  </si>
  <si>
    <t xml:space="preserve">Суслов Николай </t>
  </si>
  <si>
    <t>Ситников Алексей</t>
  </si>
  <si>
    <t>79,90</t>
  </si>
  <si>
    <t>267,5</t>
  </si>
  <si>
    <t>Чигарев Вячеслав</t>
  </si>
  <si>
    <t>82,10</t>
  </si>
  <si>
    <t>Климов Руслан</t>
  </si>
  <si>
    <t>81,70</t>
  </si>
  <si>
    <t xml:space="preserve">Алейников Юрий </t>
  </si>
  <si>
    <t>Садвакасов Тамир</t>
  </si>
  <si>
    <t>88,80</t>
  </si>
  <si>
    <t>Лазарев Вячеслав</t>
  </si>
  <si>
    <t>87,00</t>
  </si>
  <si>
    <t>Spass Miks</t>
  </si>
  <si>
    <t>86,00</t>
  </si>
  <si>
    <t xml:space="preserve">Ivars Cirulis </t>
  </si>
  <si>
    <t>82,60</t>
  </si>
  <si>
    <t>Шихгасанов Рамазан</t>
  </si>
  <si>
    <t>89,30</t>
  </si>
  <si>
    <t>295,0</t>
  </si>
  <si>
    <t>305,0</t>
  </si>
  <si>
    <t>310,0</t>
  </si>
  <si>
    <t>217,5</t>
  </si>
  <si>
    <t>Крылов Артём</t>
  </si>
  <si>
    <t>87,70</t>
  </si>
  <si>
    <t>320,0</t>
  </si>
  <si>
    <t>330,0</t>
  </si>
  <si>
    <t>187,5</t>
  </si>
  <si>
    <t>300,0</t>
  </si>
  <si>
    <t>325,0</t>
  </si>
  <si>
    <t>Лукьянов Сергей</t>
  </si>
  <si>
    <t>331,0</t>
  </si>
  <si>
    <t>Леликов Павел</t>
  </si>
  <si>
    <t>86,90</t>
  </si>
  <si>
    <t>290,0</t>
  </si>
  <si>
    <t>Пакулов Сергей</t>
  </si>
  <si>
    <t>87,60</t>
  </si>
  <si>
    <t>255,0</t>
  </si>
  <si>
    <t>Козлов Александр</t>
  </si>
  <si>
    <t>89,20</t>
  </si>
  <si>
    <t xml:space="preserve">Белкин Юрий </t>
  </si>
  <si>
    <t>Яруков Станислав</t>
  </si>
  <si>
    <t>302,5</t>
  </si>
  <si>
    <t>Федосеев Николай</t>
  </si>
  <si>
    <t>86,50</t>
  </si>
  <si>
    <t>Бондарев Вячеслав</t>
  </si>
  <si>
    <t>89,00</t>
  </si>
  <si>
    <t>Мартюченко Дмитрий</t>
  </si>
  <si>
    <t>84,50</t>
  </si>
  <si>
    <t xml:space="preserve">Бурцев Анатолий </t>
  </si>
  <si>
    <t>Дременков Константин</t>
  </si>
  <si>
    <t>86,80</t>
  </si>
  <si>
    <t>97,40</t>
  </si>
  <si>
    <t>120,60</t>
  </si>
  <si>
    <t>195,0</t>
  </si>
  <si>
    <t>Баяндорж Ганболд</t>
  </si>
  <si>
    <t>140,70</t>
  </si>
  <si>
    <t xml:space="preserve">Wilks </t>
  </si>
  <si>
    <t>447,5</t>
  </si>
  <si>
    <t>407,7620</t>
  </si>
  <si>
    <t>344,9280</t>
  </si>
  <si>
    <t>52,0</t>
  </si>
  <si>
    <t>248,9570</t>
  </si>
  <si>
    <t>517,5</t>
  </si>
  <si>
    <t>497,8868</t>
  </si>
  <si>
    <t>427,5</t>
  </si>
  <si>
    <t>476,6197</t>
  </si>
  <si>
    <t>402,5</t>
  </si>
  <si>
    <t>420,8138</t>
  </si>
  <si>
    <t>647,5</t>
  </si>
  <si>
    <t>434,4077</t>
  </si>
  <si>
    <t>657,5</t>
  </si>
  <si>
    <t>422,6410</t>
  </si>
  <si>
    <t>635,0</t>
  </si>
  <si>
    <t>412,6865</t>
  </si>
  <si>
    <t>780,0</t>
  </si>
  <si>
    <t>499,9800</t>
  </si>
  <si>
    <t>707,5</t>
  </si>
  <si>
    <t>486,9015</t>
  </si>
  <si>
    <t>570,0</t>
  </si>
  <si>
    <t>590,0</t>
  </si>
  <si>
    <t>1</t>
  </si>
  <si>
    <t/>
  </si>
  <si>
    <t>-</t>
  </si>
  <si>
    <t>2</t>
  </si>
  <si>
    <t>3</t>
  </si>
  <si>
    <t>4</t>
  </si>
  <si>
    <t>5</t>
  </si>
  <si>
    <t>6</t>
  </si>
  <si>
    <t>7</t>
  </si>
  <si>
    <t>8</t>
  </si>
  <si>
    <t>Лисобой Маргарита</t>
  </si>
  <si>
    <t>43,80</t>
  </si>
  <si>
    <t>65,0</t>
  </si>
  <si>
    <t>47,5</t>
  </si>
  <si>
    <t>115,0</t>
  </si>
  <si>
    <t>Куликова Ольга</t>
  </si>
  <si>
    <t>45,80</t>
  </si>
  <si>
    <t>57,5</t>
  </si>
  <si>
    <t xml:space="preserve">Куликов Юрий </t>
  </si>
  <si>
    <t>Белоусова Ирина</t>
  </si>
  <si>
    <t>46,00</t>
  </si>
  <si>
    <t>42,5</t>
  </si>
  <si>
    <t xml:space="preserve">Царюк Антон </t>
  </si>
  <si>
    <t>Бизяева Ирина</t>
  </si>
  <si>
    <t>50,50</t>
  </si>
  <si>
    <t>Шелестова София</t>
  </si>
  <si>
    <t>51,50</t>
  </si>
  <si>
    <t>Тарасова Валентина</t>
  </si>
  <si>
    <t>50,40</t>
  </si>
  <si>
    <t xml:space="preserve">Иминов Иркин </t>
  </si>
  <si>
    <t>Озернюк Инна</t>
  </si>
  <si>
    <t>52,00</t>
  </si>
  <si>
    <t>112,5</t>
  </si>
  <si>
    <t>117,5</t>
  </si>
  <si>
    <t xml:space="preserve">Кочетов Александр </t>
  </si>
  <si>
    <t>Касьян Ольга</t>
  </si>
  <si>
    <t>50,60</t>
  </si>
  <si>
    <t>52,5</t>
  </si>
  <si>
    <t>Дударева Екатерина</t>
  </si>
  <si>
    <t>55,10</t>
  </si>
  <si>
    <t xml:space="preserve">Сборная Московской области </t>
  </si>
  <si>
    <t xml:space="preserve">Мазуркевич Михаил </t>
  </si>
  <si>
    <t>Киселева Анастасия</t>
  </si>
  <si>
    <t>55,50</t>
  </si>
  <si>
    <t>Унашхотлева Элла</t>
  </si>
  <si>
    <t>54,60</t>
  </si>
  <si>
    <t xml:space="preserve">Пилипишко Николай </t>
  </si>
  <si>
    <t>Рыжикова Ольга</t>
  </si>
  <si>
    <t>53,00</t>
  </si>
  <si>
    <t>62,5</t>
  </si>
  <si>
    <t>Акулова Вероника</t>
  </si>
  <si>
    <t>58,60</t>
  </si>
  <si>
    <t>Петелова Яна</t>
  </si>
  <si>
    <t>59,00</t>
  </si>
  <si>
    <t>123,0</t>
  </si>
  <si>
    <t>133,0</t>
  </si>
  <si>
    <t>Усольцева Мария</t>
  </si>
  <si>
    <t>58,90</t>
  </si>
  <si>
    <t>Ляшевская Екатерина</t>
  </si>
  <si>
    <t>Тохунц Арус</t>
  </si>
  <si>
    <t>59,50</t>
  </si>
  <si>
    <t>102,5</t>
  </si>
  <si>
    <t>Яковенко Виктория</t>
  </si>
  <si>
    <t>122,5</t>
  </si>
  <si>
    <t xml:space="preserve">Плужников Павел </t>
  </si>
  <si>
    <t>Билимихова Карина</t>
  </si>
  <si>
    <t>65,90</t>
  </si>
  <si>
    <t>Климова Марина</t>
  </si>
  <si>
    <t>127,5</t>
  </si>
  <si>
    <t xml:space="preserve">Падалко Алексей </t>
  </si>
  <si>
    <t>Фаррафутдинова Татьяна</t>
  </si>
  <si>
    <t>66,30</t>
  </si>
  <si>
    <t>Рапопорт Анна</t>
  </si>
  <si>
    <t>67,20</t>
  </si>
  <si>
    <t xml:space="preserve">Мациевский Владимир </t>
  </si>
  <si>
    <t>Гуцу Юлия</t>
  </si>
  <si>
    <t>72,40</t>
  </si>
  <si>
    <t>Grinbergs Maksims</t>
  </si>
  <si>
    <t>59,60</t>
  </si>
  <si>
    <t>Пивень Артём</t>
  </si>
  <si>
    <t>59,30</t>
  </si>
  <si>
    <t>Ванюханов Станислав</t>
  </si>
  <si>
    <t>Батхуяг Батдорж</t>
  </si>
  <si>
    <t>56,40</t>
  </si>
  <si>
    <t>Ганжа Данила</t>
  </si>
  <si>
    <t>61,40</t>
  </si>
  <si>
    <t xml:space="preserve">Мельников Андрей </t>
  </si>
  <si>
    <t>Строченков Юлиан</t>
  </si>
  <si>
    <t>67,10</t>
  </si>
  <si>
    <t>64,40</t>
  </si>
  <si>
    <t>207,5</t>
  </si>
  <si>
    <t>Зидаабазар Сарантуяа</t>
  </si>
  <si>
    <t>65,40</t>
  </si>
  <si>
    <t>Селихов Егор</t>
  </si>
  <si>
    <t>73,10</t>
  </si>
  <si>
    <t>Плескач Дмитрий</t>
  </si>
  <si>
    <t>74,50</t>
  </si>
  <si>
    <t>Четвергов Сергей</t>
  </si>
  <si>
    <t>Шарафетдинов Никита</t>
  </si>
  <si>
    <t>74,20</t>
  </si>
  <si>
    <t xml:space="preserve">Мацько Игорь </t>
  </si>
  <si>
    <t>Румянцев Максим</t>
  </si>
  <si>
    <t xml:space="preserve">Приходько Андрей </t>
  </si>
  <si>
    <t>Андриасян Айк</t>
  </si>
  <si>
    <t>74,10</t>
  </si>
  <si>
    <t xml:space="preserve">Леликов Павел </t>
  </si>
  <si>
    <t>Батсух Батболд</t>
  </si>
  <si>
    <t xml:space="preserve">Шавардорж Ариунбаатар </t>
  </si>
  <si>
    <t>Жаксыбеков Альдер</t>
  </si>
  <si>
    <t xml:space="preserve">Маслов Илья </t>
  </si>
  <si>
    <t>Глубшев Александр</t>
  </si>
  <si>
    <t>Хоменко Валерий</t>
  </si>
  <si>
    <t>Джумаев Данила</t>
  </si>
  <si>
    <t>78,20</t>
  </si>
  <si>
    <t xml:space="preserve">Мельник Андрей </t>
  </si>
  <si>
    <t>Мирзоев Мухаммад-Али</t>
  </si>
  <si>
    <t>Батболд Отгонбаатар</t>
  </si>
  <si>
    <t>Эрдэнэтуяма Эрхамбаяр</t>
  </si>
  <si>
    <t>Лебедев Михаил</t>
  </si>
  <si>
    <t>77,70</t>
  </si>
  <si>
    <t>177,5</t>
  </si>
  <si>
    <t>Перов Василий</t>
  </si>
  <si>
    <t>82,00</t>
  </si>
  <si>
    <t>Прыгунов Олег</t>
  </si>
  <si>
    <t>80,40</t>
  </si>
  <si>
    <t>237,5</t>
  </si>
  <si>
    <t>Гусев Артем</t>
  </si>
  <si>
    <t>81,20</t>
  </si>
  <si>
    <t>227,5</t>
  </si>
  <si>
    <t>Двужилов Алексей</t>
  </si>
  <si>
    <t>80,90</t>
  </si>
  <si>
    <t>232,5</t>
  </si>
  <si>
    <t>Ефремов Юрий</t>
  </si>
  <si>
    <t>Шаравдорж Бямбатогтох</t>
  </si>
  <si>
    <t>Прокофьев Сергей</t>
  </si>
  <si>
    <t>81,00</t>
  </si>
  <si>
    <t>Sharavdorj Ariunbaatar</t>
  </si>
  <si>
    <t>262,5</t>
  </si>
  <si>
    <t>Серегин Роман</t>
  </si>
  <si>
    <t>88,10</t>
  </si>
  <si>
    <t>142,5</t>
  </si>
  <si>
    <t>Зотов Иван</t>
  </si>
  <si>
    <t>88,70</t>
  </si>
  <si>
    <t>Казак Роман</t>
  </si>
  <si>
    <t>89,10</t>
  </si>
  <si>
    <t>Драгунов Андрей</t>
  </si>
  <si>
    <t>85,70</t>
  </si>
  <si>
    <t>Тарков Леонид</t>
  </si>
  <si>
    <t>Маренков Юрий</t>
  </si>
  <si>
    <t>88,20</t>
  </si>
  <si>
    <t>202,5</t>
  </si>
  <si>
    <t>Куликов Юрий</t>
  </si>
  <si>
    <t>85,80</t>
  </si>
  <si>
    <t xml:space="preserve">Горбунов Вячеслав </t>
  </si>
  <si>
    <t>Тушин Алексей</t>
  </si>
  <si>
    <t>Майоршин Андрей</t>
  </si>
  <si>
    <t>99,40</t>
  </si>
  <si>
    <t>Алексеев Андрей</t>
  </si>
  <si>
    <t>92,20</t>
  </si>
  <si>
    <t>Шавардорж Алтанбагана</t>
  </si>
  <si>
    <t>Маллаев Мурад</t>
  </si>
  <si>
    <t>97,70</t>
  </si>
  <si>
    <t>95,20</t>
  </si>
  <si>
    <t>Кляузов Сергей</t>
  </si>
  <si>
    <t>93,40</t>
  </si>
  <si>
    <t xml:space="preserve">Чумичёв Сергей </t>
  </si>
  <si>
    <t>Ульзутуев Петр</t>
  </si>
  <si>
    <t>97,90</t>
  </si>
  <si>
    <t>Зубаков Глеб</t>
  </si>
  <si>
    <t>96,60</t>
  </si>
  <si>
    <t xml:space="preserve">Адысев Дмитрий </t>
  </si>
  <si>
    <t>Бредихин Николай</t>
  </si>
  <si>
    <t>97,10</t>
  </si>
  <si>
    <t>Зундуй Мунхэрдэнэ</t>
  </si>
  <si>
    <t>Яндиев Саварбек</t>
  </si>
  <si>
    <t>96,80</t>
  </si>
  <si>
    <t xml:space="preserve">Котиев Хамзат </t>
  </si>
  <si>
    <t>Джайтабаров Мурат</t>
  </si>
  <si>
    <t>98,70</t>
  </si>
  <si>
    <t xml:space="preserve">Ким Андрей </t>
  </si>
  <si>
    <t>Рунов Дмитрий</t>
  </si>
  <si>
    <t>102,80</t>
  </si>
  <si>
    <t>Batmagnai Gansukh</t>
  </si>
  <si>
    <t>107,50</t>
  </si>
  <si>
    <t>285,0</t>
  </si>
  <si>
    <t>Митрофанов Василий</t>
  </si>
  <si>
    <t>109,20</t>
  </si>
  <si>
    <t>Меркурьев Александр</t>
  </si>
  <si>
    <t>Родионов Александр</t>
  </si>
  <si>
    <t>109,00</t>
  </si>
  <si>
    <t>Фролов Сергей</t>
  </si>
  <si>
    <t>102,90</t>
  </si>
  <si>
    <t>103,50</t>
  </si>
  <si>
    <t>Pagvaasurer Otgonmuhkh</t>
  </si>
  <si>
    <t>106,40</t>
  </si>
  <si>
    <t>Комарчук Виталий</t>
  </si>
  <si>
    <t>102,00</t>
  </si>
  <si>
    <t>Жарков Дмитрий</t>
  </si>
  <si>
    <t>101,30</t>
  </si>
  <si>
    <t>Ромов Никита</t>
  </si>
  <si>
    <t>117,90</t>
  </si>
  <si>
    <t>Хурэлчулуун Угтахбаяр</t>
  </si>
  <si>
    <t>119,10</t>
  </si>
  <si>
    <t>Трдатьян Левон</t>
  </si>
  <si>
    <t>117,70</t>
  </si>
  <si>
    <t>292,5</t>
  </si>
  <si>
    <t>Головков Сергей</t>
  </si>
  <si>
    <t>123,50</t>
  </si>
  <si>
    <t>297,5</t>
  </si>
  <si>
    <t xml:space="preserve">Лученков Сергей </t>
  </si>
  <si>
    <t>Милёшкин Анатолий</t>
  </si>
  <si>
    <t>114,70</t>
  </si>
  <si>
    <t>Поливанов Владимир</t>
  </si>
  <si>
    <t>122,50</t>
  </si>
  <si>
    <t xml:space="preserve">Грищенко Василий </t>
  </si>
  <si>
    <t>113,90</t>
  </si>
  <si>
    <t>Дамдин Анхбаяр</t>
  </si>
  <si>
    <t>137,60</t>
  </si>
  <si>
    <t>Эрдэнэбат Зоригтбаатар</t>
  </si>
  <si>
    <t>141,60</t>
  </si>
  <si>
    <t>350,0</t>
  </si>
  <si>
    <t>370,0</t>
  </si>
  <si>
    <t>Кухарчук Константин</t>
  </si>
  <si>
    <t>145,10</t>
  </si>
  <si>
    <t xml:space="preserve">Мусихин Юрий </t>
  </si>
  <si>
    <t>332,5</t>
  </si>
  <si>
    <t>377,5537</t>
  </si>
  <si>
    <t>44,0</t>
  </si>
  <si>
    <t>342,4827</t>
  </si>
  <si>
    <t>331,5000</t>
  </si>
  <si>
    <t>395,8390</t>
  </si>
  <si>
    <t>56,0</t>
  </si>
  <si>
    <t>393,2280</t>
  </si>
  <si>
    <t>367,4513</t>
  </si>
  <si>
    <t>277,5</t>
  </si>
  <si>
    <t>306,2946</t>
  </si>
  <si>
    <t>283,2425</t>
  </si>
  <si>
    <t>565,0</t>
  </si>
  <si>
    <t>437,7055</t>
  </si>
  <si>
    <t>610,0</t>
  </si>
  <si>
    <t>372,1610</t>
  </si>
  <si>
    <t>366,6490</t>
  </si>
  <si>
    <t>632,5</t>
  </si>
  <si>
    <t>458,9420</t>
  </si>
  <si>
    <t>456,7980</t>
  </si>
  <si>
    <t>557,5</t>
  </si>
  <si>
    <t>402,5708</t>
  </si>
  <si>
    <t>905,0</t>
  </si>
  <si>
    <t>504,8995</t>
  </si>
  <si>
    <t>802,5</t>
  </si>
  <si>
    <t>475,7220</t>
  </si>
  <si>
    <t>765,0</t>
  </si>
  <si>
    <t>470,6280</t>
  </si>
  <si>
    <t>450,0</t>
  </si>
  <si>
    <t>508,5389</t>
  </si>
  <si>
    <t>443,7023</t>
  </si>
  <si>
    <t>605,0</t>
  </si>
  <si>
    <t>436,4688</t>
  </si>
  <si>
    <t>Показанов Никита</t>
  </si>
  <si>
    <t>80,20</t>
  </si>
  <si>
    <t>Мочалова Надежда</t>
  </si>
  <si>
    <t>37,00</t>
  </si>
  <si>
    <t>30,0</t>
  </si>
  <si>
    <t>32,5</t>
  </si>
  <si>
    <t>Лопырева Дарья</t>
  </si>
  <si>
    <t>32,60</t>
  </si>
  <si>
    <t>25,0</t>
  </si>
  <si>
    <t xml:space="preserve">Давтян Артур </t>
  </si>
  <si>
    <t>77,5</t>
  </si>
  <si>
    <t>Сидоркина Наталья</t>
  </si>
  <si>
    <t>54,40</t>
  </si>
  <si>
    <t>Бакай Марина</t>
  </si>
  <si>
    <t>55,20</t>
  </si>
  <si>
    <t xml:space="preserve">Пахучий Александр </t>
  </si>
  <si>
    <t>Волкова Татьяна</t>
  </si>
  <si>
    <t>57,10</t>
  </si>
  <si>
    <t xml:space="preserve">Печейкин Олег </t>
  </si>
  <si>
    <t>Конюшенко Елена</t>
  </si>
  <si>
    <t>70,50</t>
  </si>
  <si>
    <t xml:space="preserve">Цирулик Николай </t>
  </si>
  <si>
    <t>Мурзин Юрий</t>
  </si>
  <si>
    <t>59,80</t>
  </si>
  <si>
    <t>Салосалов Сергей</t>
  </si>
  <si>
    <t>67,00</t>
  </si>
  <si>
    <t>Мухаметов Батурхан</t>
  </si>
  <si>
    <t>Аржаев Сергей</t>
  </si>
  <si>
    <t>67,30</t>
  </si>
  <si>
    <t>Shokrani Masood</t>
  </si>
  <si>
    <t xml:space="preserve">Asad Zadeh </t>
  </si>
  <si>
    <t>Меджитов Ридван</t>
  </si>
  <si>
    <t>74,80</t>
  </si>
  <si>
    <t xml:space="preserve">Катаев Ленур </t>
  </si>
  <si>
    <t>Самойличенко Виталий</t>
  </si>
  <si>
    <t>73,30</t>
  </si>
  <si>
    <t xml:space="preserve">Ефимов Евгнеий </t>
  </si>
  <si>
    <t>73,80</t>
  </si>
  <si>
    <t>Обухов Николай</t>
  </si>
  <si>
    <t>Курданов Заур</t>
  </si>
  <si>
    <t>Раматов Акжолтой</t>
  </si>
  <si>
    <t xml:space="preserve">Раматов Марат </t>
  </si>
  <si>
    <t>81,90</t>
  </si>
  <si>
    <t>80,50</t>
  </si>
  <si>
    <t>Семенов Александр</t>
  </si>
  <si>
    <t>81,80</t>
  </si>
  <si>
    <t>Шафиев Фуркат</t>
  </si>
  <si>
    <t>80,70</t>
  </si>
  <si>
    <t xml:space="preserve">Джайтабаров Мурат </t>
  </si>
  <si>
    <t>Трошинский Вячеслав</t>
  </si>
  <si>
    <t>78,60</t>
  </si>
  <si>
    <t>Копытин Иван</t>
  </si>
  <si>
    <t>192,5</t>
  </si>
  <si>
    <t>197,5</t>
  </si>
  <si>
    <t>90,00</t>
  </si>
  <si>
    <t>87,30</t>
  </si>
  <si>
    <t>Воронцов Илья</t>
  </si>
  <si>
    <t>85,60</t>
  </si>
  <si>
    <t xml:space="preserve">Смоленков Валерий </t>
  </si>
  <si>
    <t>Михайлов Кирилл</t>
  </si>
  <si>
    <t>83,30</t>
  </si>
  <si>
    <t>Белышев Артем</t>
  </si>
  <si>
    <t>88,60</t>
  </si>
  <si>
    <t>Кролевский Валерий</t>
  </si>
  <si>
    <t>98,50</t>
  </si>
  <si>
    <t>97,00</t>
  </si>
  <si>
    <t xml:space="preserve">Коротков Максим </t>
  </si>
  <si>
    <t>Бахмудов Магомедэмин</t>
  </si>
  <si>
    <t>Веселов Игорь</t>
  </si>
  <si>
    <t>99,10</t>
  </si>
  <si>
    <t xml:space="preserve">Толдыкин Никита </t>
  </si>
  <si>
    <t>99,70</t>
  </si>
  <si>
    <t>97,50</t>
  </si>
  <si>
    <t>97,80</t>
  </si>
  <si>
    <t>Печейкин Олег</t>
  </si>
  <si>
    <t>100,00</t>
  </si>
  <si>
    <t>98,80</t>
  </si>
  <si>
    <t>97,20</t>
  </si>
  <si>
    <t>99,00</t>
  </si>
  <si>
    <t>108,80</t>
  </si>
  <si>
    <t>109,10</t>
  </si>
  <si>
    <t>109,70</t>
  </si>
  <si>
    <t>Рудецких Андрей</t>
  </si>
  <si>
    <t>107,80</t>
  </si>
  <si>
    <t>102,50</t>
  </si>
  <si>
    <t>Джайлаубаев Марат</t>
  </si>
  <si>
    <t>124,00</t>
  </si>
  <si>
    <t>Регулярный Иван</t>
  </si>
  <si>
    <t>119,00</t>
  </si>
  <si>
    <t>Магомедов Магомедмурад</t>
  </si>
  <si>
    <t>123,80</t>
  </si>
  <si>
    <t xml:space="preserve">Магомедшапи </t>
  </si>
  <si>
    <t xml:space="preserve">Даниелян Сергей </t>
  </si>
  <si>
    <t>9</t>
  </si>
  <si>
    <t>10</t>
  </si>
  <si>
    <t>11</t>
  </si>
  <si>
    <t>12</t>
  </si>
  <si>
    <t>13</t>
  </si>
  <si>
    <t xml:space="preserve">Кучма Алексей </t>
  </si>
  <si>
    <t xml:space="preserve">Козлов Александр </t>
  </si>
  <si>
    <t xml:space="preserve">Мазаник Максим </t>
  </si>
  <si>
    <t>65,20</t>
  </si>
  <si>
    <t>Гатаев Динислам</t>
  </si>
  <si>
    <t>59,20</t>
  </si>
  <si>
    <t xml:space="preserve">Алхазов Алихан </t>
  </si>
  <si>
    <t>Емельянов Николай</t>
  </si>
  <si>
    <t xml:space="preserve">Квич Сергей </t>
  </si>
  <si>
    <t>Штефан Илья</t>
  </si>
  <si>
    <t>Калинин Антон</t>
  </si>
  <si>
    <t>250,5</t>
  </si>
  <si>
    <t>88,30</t>
  </si>
  <si>
    <t>287,5</t>
  </si>
  <si>
    <t>Улащик Андрей</t>
  </si>
  <si>
    <t>322,0</t>
  </si>
  <si>
    <t>Леоненко Василий</t>
  </si>
  <si>
    <t xml:space="preserve">Похватько Роман </t>
  </si>
  <si>
    <t>Саденов Сайдулла-Эфендий</t>
  </si>
  <si>
    <t>92,30</t>
  </si>
  <si>
    <t>Крюков Михаил</t>
  </si>
  <si>
    <t>108,50</t>
  </si>
  <si>
    <t xml:space="preserve">Парфенцев Алексей </t>
  </si>
  <si>
    <t>Mantymaki Mikko</t>
  </si>
  <si>
    <t>102,30</t>
  </si>
  <si>
    <t>Шишкин Андрей</t>
  </si>
  <si>
    <t>113,70</t>
  </si>
  <si>
    <t xml:space="preserve">Никитенко Людмила </t>
  </si>
  <si>
    <t>Литвинов Кирилл</t>
  </si>
  <si>
    <t xml:space="preserve">Литвинов Александр </t>
  </si>
  <si>
    <t>Ишин Алексей</t>
  </si>
  <si>
    <t>88,40</t>
  </si>
  <si>
    <t>Швецов Павел</t>
  </si>
  <si>
    <t>Сурков Сергей</t>
  </si>
  <si>
    <t>89,40</t>
  </si>
  <si>
    <t>345,0</t>
  </si>
  <si>
    <t>Емелёва Елена</t>
  </si>
  <si>
    <t>59,10</t>
  </si>
  <si>
    <t>Ервасов Руслан</t>
  </si>
  <si>
    <t>70,70</t>
  </si>
  <si>
    <t>Хамбабян Давит</t>
  </si>
  <si>
    <t xml:space="preserve">Ольховский Владимир </t>
  </si>
  <si>
    <t>Козинец Алексей</t>
  </si>
  <si>
    <t>Христолюбов Антон</t>
  </si>
  <si>
    <t>74,70</t>
  </si>
  <si>
    <t>78,90</t>
  </si>
  <si>
    <t>Пашков Игорь</t>
  </si>
  <si>
    <t>80,00</t>
  </si>
  <si>
    <t>Мянганбаатар Лувсанданзан</t>
  </si>
  <si>
    <t>Опарин Илья</t>
  </si>
  <si>
    <t>78,00</t>
  </si>
  <si>
    <t>Шейкин Алексей</t>
  </si>
  <si>
    <t>Точеный Григорий</t>
  </si>
  <si>
    <t>Кулебякин Руслан</t>
  </si>
  <si>
    <t>108,10</t>
  </si>
  <si>
    <t xml:space="preserve">Стародубский Сергей </t>
  </si>
  <si>
    <t>104,10</t>
  </si>
  <si>
    <t>Олейников Сергей</t>
  </si>
  <si>
    <t>117,80</t>
  </si>
  <si>
    <t>Шония Алексей</t>
  </si>
  <si>
    <t>132,30</t>
  </si>
  <si>
    <t>490,0</t>
  </si>
  <si>
    <t>465,0</t>
  </si>
  <si>
    <t>299,7855</t>
  </si>
  <si>
    <t>335,0</t>
  </si>
  <si>
    <t>289,2725</t>
  </si>
  <si>
    <t>301,7190</t>
  </si>
  <si>
    <t>355,0</t>
  </si>
  <si>
    <t>289,5174</t>
  </si>
  <si>
    <t>340,0</t>
  </si>
  <si>
    <t>285,0924</t>
  </si>
  <si>
    <t>Блохина Виктория</t>
  </si>
  <si>
    <t>57,60</t>
  </si>
  <si>
    <t>Сивакова Валерия</t>
  </si>
  <si>
    <t>68,50</t>
  </si>
  <si>
    <t xml:space="preserve">Панферова Мария </t>
  </si>
  <si>
    <t>Andersch Birgit</t>
  </si>
  <si>
    <t>73,40</t>
  </si>
  <si>
    <t xml:space="preserve">Jurgen Wilflingseder </t>
  </si>
  <si>
    <t>Салин Антон</t>
  </si>
  <si>
    <t>65,70</t>
  </si>
  <si>
    <t>Кавкаев Николай</t>
  </si>
  <si>
    <t>72,10</t>
  </si>
  <si>
    <t>Тушин Павел</t>
  </si>
  <si>
    <t xml:space="preserve">Сапунов Иван </t>
  </si>
  <si>
    <t>Котов Кирилл</t>
  </si>
  <si>
    <t>Коровин Павел</t>
  </si>
  <si>
    <t>88,50</t>
  </si>
  <si>
    <t>Макаров Александр</t>
  </si>
  <si>
    <t>88,00</t>
  </si>
  <si>
    <t xml:space="preserve">Потехин Кирилл </t>
  </si>
  <si>
    <t>Лопырев Александр</t>
  </si>
  <si>
    <t>Карагашев Павел</t>
  </si>
  <si>
    <t>315,0</t>
  </si>
  <si>
    <t>Иниев Умар</t>
  </si>
  <si>
    <t xml:space="preserve">Гаджиев Мурад </t>
  </si>
  <si>
    <t>Костерин Валерий</t>
  </si>
  <si>
    <t>Кольцов Роман</t>
  </si>
  <si>
    <t>Григорьев Владимир</t>
  </si>
  <si>
    <t>Шкаратин Александр</t>
  </si>
  <si>
    <t>97,30</t>
  </si>
  <si>
    <t>Литвинов Александр</t>
  </si>
  <si>
    <t>99,90</t>
  </si>
  <si>
    <t>Лопырев Владимир</t>
  </si>
  <si>
    <t>94,40</t>
  </si>
  <si>
    <t>Шейнин Андрей</t>
  </si>
  <si>
    <t xml:space="preserve">Тарасова Валентина </t>
  </si>
  <si>
    <t>Невзоров Вячеслав</t>
  </si>
  <si>
    <t>Ерлан Алдияр</t>
  </si>
  <si>
    <t>Кабдешев Эдуард</t>
  </si>
  <si>
    <t>Самсонов Юрий</t>
  </si>
  <si>
    <t>107,20</t>
  </si>
  <si>
    <t>Сичинава Давид</t>
  </si>
  <si>
    <t>Пысь Дмитрий</t>
  </si>
  <si>
    <t>Имамгусейнов Вагиф</t>
  </si>
  <si>
    <t>125,40</t>
  </si>
  <si>
    <t xml:space="preserve">Иниев Умар </t>
  </si>
  <si>
    <t>Пирогов Александр</t>
  </si>
  <si>
    <t>143,30</t>
  </si>
  <si>
    <t>360,0</t>
  </si>
  <si>
    <t>Махмудов Ибрагим</t>
  </si>
  <si>
    <t>140,10</t>
  </si>
  <si>
    <t>760,0</t>
  </si>
  <si>
    <t>452,0480</t>
  </si>
  <si>
    <t>677,5</t>
  </si>
  <si>
    <t>436,5810</t>
  </si>
  <si>
    <t>670,0</t>
  </si>
  <si>
    <t>422,4350</t>
  </si>
  <si>
    <t>960,0</t>
  </si>
  <si>
    <t>534,6240</t>
  </si>
  <si>
    <t>890,0</t>
  </si>
  <si>
    <t>508,0120</t>
  </si>
  <si>
    <t>815,0</t>
  </si>
  <si>
    <t>502,2845</t>
  </si>
  <si>
    <t>419,8798</t>
  </si>
  <si>
    <t>555,0</t>
  </si>
  <si>
    <t>404,0968</t>
  </si>
  <si>
    <t>660,0</t>
  </si>
  <si>
    <t>403,8170</t>
  </si>
  <si>
    <t>Брянцева Дарья</t>
  </si>
  <si>
    <t>Калиничева Юлия</t>
  </si>
  <si>
    <t>51,90</t>
  </si>
  <si>
    <t>Кривошапова Александра</t>
  </si>
  <si>
    <t>51,00</t>
  </si>
  <si>
    <t>Левина Юлия</t>
  </si>
  <si>
    <t>Латухина Марина</t>
  </si>
  <si>
    <t>Пархоменко Ольга</t>
  </si>
  <si>
    <t>53,60</t>
  </si>
  <si>
    <t>Shah Roma</t>
  </si>
  <si>
    <t>Мизинова Татьяна</t>
  </si>
  <si>
    <t>69,20</t>
  </si>
  <si>
    <t xml:space="preserve">Крым </t>
  </si>
  <si>
    <t>Бурьян Светлана</t>
  </si>
  <si>
    <t xml:space="preserve">Ефименко Дмитрий </t>
  </si>
  <si>
    <t>Зотова Мария</t>
  </si>
  <si>
    <t>90,40</t>
  </si>
  <si>
    <t>Коростелёв Алексей</t>
  </si>
  <si>
    <t>Сидоркин Дмитрий</t>
  </si>
  <si>
    <t xml:space="preserve">Суджян Арташез </t>
  </si>
  <si>
    <t>Лордкипанидзе Саид</t>
  </si>
  <si>
    <t>Карпов Евгений</t>
  </si>
  <si>
    <t>Чурзин Александр</t>
  </si>
  <si>
    <t xml:space="preserve">Скоробогатов Александр </t>
  </si>
  <si>
    <t>257,5</t>
  </si>
  <si>
    <t>Саранский Сергей</t>
  </si>
  <si>
    <t>89,60</t>
  </si>
  <si>
    <t>Ансимов Андрей</t>
  </si>
  <si>
    <t>Сагиров Степан</t>
  </si>
  <si>
    <t>96,50</t>
  </si>
  <si>
    <t>Салманов Осман</t>
  </si>
  <si>
    <t>96,30</t>
  </si>
  <si>
    <t xml:space="preserve">Исабеков Руслан </t>
  </si>
  <si>
    <t>Федоренко Владимир</t>
  </si>
  <si>
    <t>96,70</t>
  </si>
  <si>
    <t>Казубский Сергей</t>
  </si>
  <si>
    <t>Астахов Денис</t>
  </si>
  <si>
    <t>115,30</t>
  </si>
  <si>
    <t>Ефименко Дмитрий</t>
  </si>
  <si>
    <t xml:space="preserve">Торопцев Илья </t>
  </si>
  <si>
    <t>288,8760</t>
  </si>
  <si>
    <t>309,9270</t>
  </si>
  <si>
    <t>307,4440</t>
  </si>
  <si>
    <t>715,0</t>
  </si>
  <si>
    <t>460,9605</t>
  </si>
  <si>
    <t>459,6020</t>
  </si>
  <si>
    <t>695,0</t>
  </si>
  <si>
    <t>443,6880</t>
  </si>
  <si>
    <t>454,6646</t>
  </si>
  <si>
    <t>755,0</t>
  </si>
  <si>
    <t>450,0736</t>
  </si>
  <si>
    <t>444,3850</t>
  </si>
  <si>
    <t>94,20</t>
  </si>
  <si>
    <t>Воротилищев Алексей</t>
  </si>
  <si>
    <t>Симонов Александр</t>
  </si>
  <si>
    <t xml:space="preserve">Gloss </t>
  </si>
  <si>
    <t>Галкина Анастасия</t>
  </si>
  <si>
    <t>29,0</t>
  </si>
  <si>
    <t xml:space="preserve">Смольников Валерий </t>
  </si>
  <si>
    <t>38,0</t>
  </si>
  <si>
    <t>41,0</t>
  </si>
  <si>
    <t>64,70</t>
  </si>
  <si>
    <t>24,0</t>
  </si>
  <si>
    <t>20,0</t>
  </si>
  <si>
    <t>27,0</t>
  </si>
  <si>
    <t>Повторы</t>
  </si>
  <si>
    <t>Вес</t>
  </si>
  <si>
    <t>Тоннаж</t>
  </si>
  <si>
    <t>Gloss</t>
  </si>
  <si>
    <t>1980,8020</t>
  </si>
  <si>
    <t>3150,0</t>
  </si>
  <si>
    <t>Смольников Валерий</t>
  </si>
  <si>
    <t>2144,5316</t>
  </si>
  <si>
    <t>3000,0</t>
  </si>
  <si>
    <t>2296,4900</t>
  </si>
  <si>
    <t>2720,0</t>
  </si>
  <si>
    <t>3082,8735</t>
  </si>
  <si>
    <t>5130,0</t>
  </si>
  <si>
    <t>Лазуренко Сергей</t>
  </si>
  <si>
    <t>6279,0000</t>
  </si>
  <si>
    <t>8400,0</t>
  </si>
  <si>
    <t>Макухин Александр</t>
  </si>
  <si>
    <t>7019,7344</t>
  </si>
  <si>
    <t>11430,0</t>
  </si>
  <si>
    <t>Алексеев Владимир</t>
  </si>
  <si>
    <t>1380,0800</t>
  </si>
  <si>
    <t>2080,0</t>
  </si>
  <si>
    <t>Алхазов Радмир</t>
  </si>
  <si>
    <t>1520,8527</t>
  </si>
  <si>
    <t>2497,5</t>
  </si>
  <si>
    <t>Сорокин Егор</t>
  </si>
  <si>
    <t>2297,5384</t>
  </si>
  <si>
    <t>3547,5</t>
  </si>
  <si>
    <t>15,0</t>
  </si>
  <si>
    <t>109,80</t>
  </si>
  <si>
    <t>Алхазов Алихан</t>
  </si>
  <si>
    <t>26,0</t>
  </si>
  <si>
    <t>3,0</t>
  </si>
  <si>
    <t>105,80</t>
  </si>
  <si>
    <t>Джураев Отабек</t>
  </si>
  <si>
    <t>13,0</t>
  </si>
  <si>
    <t>103,00</t>
  </si>
  <si>
    <t>36,0</t>
  </si>
  <si>
    <t>Чумаченко Александр</t>
  </si>
  <si>
    <t>37,0</t>
  </si>
  <si>
    <t>100,80</t>
  </si>
  <si>
    <t>54,0</t>
  </si>
  <si>
    <t>93,10</t>
  </si>
  <si>
    <t xml:space="preserve">Лобачев Даниэл </t>
  </si>
  <si>
    <t>90,80</t>
  </si>
  <si>
    <t xml:space="preserve">Фаворский Денис </t>
  </si>
  <si>
    <t>17,0</t>
  </si>
  <si>
    <t>83,50</t>
  </si>
  <si>
    <t>Мазур Евгений</t>
  </si>
  <si>
    <t>31,0</t>
  </si>
  <si>
    <t>127,0</t>
  </si>
  <si>
    <t>23,0</t>
  </si>
  <si>
    <t>Гаранин Виктор</t>
  </si>
  <si>
    <t>34,0</t>
  </si>
  <si>
    <t xml:space="preserve">Черепков Алексей </t>
  </si>
  <si>
    <t>Архипов Денис</t>
  </si>
  <si>
    <t>32,0</t>
  </si>
  <si>
    <t>Кечкин Арсений</t>
  </si>
  <si>
    <t>77,20</t>
  </si>
  <si>
    <t>43,0</t>
  </si>
  <si>
    <t>51,0</t>
  </si>
  <si>
    <t>81,50</t>
  </si>
  <si>
    <t>Новиков Дмитрий</t>
  </si>
  <si>
    <t>46,0</t>
  </si>
  <si>
    <t>59,0</t>
  </si>
  <si>
    <t>74,90</t>
  </si>
  <si>
    <t>Чеботарев Артем</t>
  </si>
  <si>
    <t>67,60</t>
  </si>
  <si>
    <t xml:space="preserve">Челенков Андрей </t>
  </si>
  <si>
    <t>Гапузин Александр</t>
  </si>
  <si>
    <t>16,0</t>
  </si>
  <si>
    <t>22,0</t>
  </si>
  <si>
    <t>Унежев Владимир</t>
  </si>
  <si>
    <t>Taivantumur Amarzaya</t>
  </si>
  <si>
    <t>Панферова Мария</t>
  </si>
  <si>
    <t xml:space="preserve">Друкер Владимир </t>
  </si>
  <si>
    <t xml:space="preserve">Бунтов Дмитрий  </t>
  </si>
  <si>
    <t xml:space="preserve">Исмайлов Алексей  </t>
  </si>
  <si>
    <t>Сенькин Виктор</t>
  </si>
  <si>
    <t xml:space="preserve">Чурзин Александр </t>
  </si>
  <si>
    <t xml:space="preserve">Черкезия Алексей </t>
  </si>
  <si>
    <t xml:space="preserve">Гайдученко Алексей </t>
  </si>
  <si>
    <t xml:space="preserve">Пауесов Анатолий </t>
  </si>
  <si>
    <t xml:space="preserve">Austria/Adlwang/Oberosterreich </t>
  </si>
  <si>
    <t xml:space="preserve">Спорт-Сервис/Реутов </t>
  </si>
  <si>
    <t>МАИ/Москва</t>
  </si>
  <si>
    <t>Лазариди Георгий</t>
  </si>
  <si>
    <t xml:space="preserve">Кучма Николай </t>
  </si>
  <si>
    <t>Кокляев Михаил</t>
  </si>
  <si>
    <t xml:space="preserve">Михеев Виктор, Панферова Мария </t>
  </si>
  <si>
    <t xml:space="preserve">Bayanmunkh Sarankhuu </t>
  </si>
  <si>
    <t xml:space="preserve">Myagmar Gansukh </t>
  </si>
  <si>
    <t xml:space="preserve">Baasandorj Munkhbaatar </t>
  </si>
  <si>
    <t xml:space="preserve">Pagvaasuren Molovjamts </t>
  </si>
  <si>
    <t xml:space="preserve">Latvia/Dobele </t>
  </si>
  <si>
    <t xml:space="preserve">Israel/Jerusalem </t>
  </si>
  <si>
    <t>Israel/Jerusalem</t>
  </si>
  <si>
    <t xml:space="preserve">Ульянов Андрей </t>
  </si>
  <si>
    <t>Унежив Владимир</t>
  </si>
  <si>
    <t xml:space="preserve">Горбачев Георгий </t>
  </si>
  <si>
    <t xml:space="preserve">Соколов Артем </t>
  </si>
  <si>
    <t>Калитюк Антон</t>
  </si>
  <si>
    <t xml:space="preserve">Семенец Сергей  </t>
  </si>
  <si>
    <t>Зверев Роман</t>
  </si>
  <si>
    <t xml:space="preserve">Танаев Михаил </t>
  </si>
  <si>
    <t xml:space="preserve">Комелин Константин </t>
  </si>
  <si>
    <t>Чумичев Сергей</t>
  </si>
  <si>
    <t xml:space="preserve">Казакбиев Али  </t>
  </si>
  <si>
    <t xml:space="preserve">Голышев Сергей </t>
  </si>
  <si>
    <t xml:space="preserve">Попов Родион </t>
  </si>
  <si>
    <t xml:space="preserve">Tumurbaatar Chakhar </t>
  </si>
  <si>
    <t xml:space="preserve">МАИ/Москва </t>
  </si>
  <si>
    <t xml:space="preserve">Ястребова Мария </t>
  </si>
  <si>
    <t xml:space="preserve">Положечников Игорь </t>
  </si>
  <si>
    <t xml:space="preserve">Пальцев Роман </t>
  </si>
  <si>
    <t xml:space="preserve">Рагулин Сергей </t>
  </si>
  <si>
    <t xml:space="preserve">Туманов Алексей </t>
  </si>
  <si>
    <t xml:space="preserve">Семенец Сергей </t>
  </si>
  <si>
    <t xml:space="preserve">Дурнов Роман </t>
  </si>
  <si>
    <t xml:space="preserve">Finland/Tampere </t>
  </si>
  <si>
    <t xml:space="preserve">Мочалов Иван </t>
  </si>
  <si>
    <t xml:space="preserve">Салосалов Сергей </t>
  </si>
  <si>
    <t xml:space="preserve">Алибегов Мурад </t>
  </si>
  <si>
    <t xml:space="preserve">Воротилищев Роман </t>
  </si>
  <si>
    <t>Кучма Николай</t>
  </si>
  <si>
    <t>0,6244</t>
  </si>
  <si>
    <t>540,0</t>
  </si>
  <si>
    <t>337,1760</t>
  </si>
  <si>
    <t>Жарков Артём</t>
  </si>
  <si>
    <t>98,10</t>
  </si>
  <si>
    <t>0,6134</t>
  </si>
  <si>
    <t>710,0</t>
  </si>
  <si>
    <t>435,5140</t>
  </si>
  <si>
    <t xml:space="preserve">Головинский Дмитрий </t>
  </si>
  <si>
    <t>Голоха Алексей</t>
  </si>
  <si>
    <t>0,6142</t>
  </si>
  <si>
    <t>416,1205</t>
  </si>
  <si>
    <t>Денисов Александр</t>
  </si>
  <si>
    <t>910,0</t>
  </si>
  <si>
    <t>568,2040</t>
  </si>
  <si>
    <t>Мацько Игорь</t>
  </si>
  <si>
    <t>0,6111</t>
  </si>
  <si>
    <t>870,0</t>
  </si>
  <si>
    <t>531,6570</t>
  </si>
  <si>
    <t>Козырь Тимур</t>
  </si>
  <si>
    <t>0,6158</t>
  </si>
  <si>
    <t>307,5</t>
  </si>
  <si>
    <t>845,0</t>
  </si>
  <si>
    <t>520,3510</t>
  </si>
  <si>
    <t>Габдрахманов Булат</t>
  </si>
  <si>
    <t>327,5</t>
  </si>
  <si>
    <t>342,5</t>
  </si>
  <si>
    <t>812,5</t>
  </si>
  <si>
    <t>500,3375</t>
  </si>
  <si>
    <t xml:space="preserve">Гадиев Риф </t>
  </si>
  <si>
    <t>Зинуров Алексей</t>
  </si>
  <si>
    <t>97,60</t>
  </si>
  <si>
    <t>0,6147</t>
  </si>
  <si>
    <t>810,0</t>
  </si>
  <si>
    <t>497,9070</t>
  </si>
  <si>
    <t>Budai Daniel</t>
  </si>
  <si>
    <t>0,6150</t>
  </si>
  <si>
    <t>792,5</t>
  </si>
  <si>
    <t>487,3875</t>
  </si>
  <si>
    <t xml:space="preserve">Gabor Rauschenberger </t>
  </si>
  <si>
    <t>Чернышёв Дмитрий</t>
  </si>
  <si>
    <t>96,90</t>
  </si>
  <si>
    <t>0,6166</t>
  </si>
  <si>
    <t>745,0</t>
  </si>
  <si>
    <t>459,3670</t>
  </si>
  <si>
    <t>Шмонин Александр</t>
  </si>
  <si>
    <t>98,20</t>
  </si>
  <si>
    <t>0,6131</t>
  </si>
  <si>
    <t>720,0</t>
  </si>
  <si>
    <t>441,4320</t>
  </si>
  <si>
    <t>Кузнецов Александр</t>
  </si>
  <si>
    <t>680,0</t>
  </si>
  <si>
    <t>419,2880</t>
  </si>
  <si>
    <t>Сличенко Павел</t>
  </si>
  <si>
    <t>0,6155</t>
  </si>
  <si>
    <t>675,0</t>
  </si>
  <si>
    <t>415,4625</t>
  </si>
  <si>
    <t>Saul Salazar</t>
  </si>
  <si>
    <t>0,6152</t>
  </si>
  <si>
    <t>415,2600</t>
  </si>
  <si>
    <t xml:space="preserve">Saul Salazar </t>
  </si>
  <si>
    <t>Глебов Константин</t>
  </si>
  <si>
    <t>98,90</t>
  </si>
  <si>
    <t>0,6113</t>
  </si>
  <si>
    <t>360,6670</t>
  </si>
  <si>
    <t>Соколов Алексей</t>
  </si>
  <si>
    <t>0,6123</t>
  </si>
  <si>
    <t>585,0</t>
  </si>
  <si>
    <t>358,1955</t>
  </si>
  <si>
    <t>Никитин Вадим</t>
  </si>
  <si>
    <t>0,0000</t>
  </si>
  <si>
    <t>Чаленко Сергей</t>
  </si>
  <si>
    <t>Пальцев Роман</t>
  </si>
  <si>
    <t>Чернышев Дмитрий</t>
  </si>
  <si>
    <t>747,5</t>
  </si>
  <si>
    <t>471,9697</t>
  </si>
  <si>
    <t>Чупряков Игорь</t>
  </si>
  <si>
    <t>0,6116</t>
  </si>
  <si>
    <t>717,5</t>
  </si>
  <si>
    <t>444,9665</t>
  </si>
  <si>
    <t>Сарайкин Александр</t>
  </si>
  <si>
    <t>545,0</t>
  </si>
  <si>
    <t>335,1750</t>
  </si>
  <si>
    <t>501,2188</t>
  </si>
  <si>
    <t>Плетюхов Юрий</t>
  </si>
  <si>
    <t>98,00</t>
  </si>
  <si>
    <t>0,6136</t>
  </si>
  <si>
    <t>582,5</t>
  </si>
  <si>
    <t>514,6877</t>
  </si>
  <si>
    <t>Махров Сергей</t>
  </si>
  <si>
    <t>93,70</t>
  </si>
  <si>
    <t>0,6260</t>
  </si>
  <si>
    <t>488,0922</t>
  </si>
  <si>
    <t>Похватько Роман</t>
  </si>
  <si>
    <t>103,90</t>
  </si>
  <si>
    <t>0,5998</t>
  </si>
  <si>
    <t>337,5</t>
  </si>
  <si>
    <t>857,5</t>
  </si>
  <si>
    <t>514,3285</t>
  </si>
  <si>
    <t>Юденков Никита</t>
  </si>
  <si>
    <t>0,5900</t>
  </si>
  <si>
    <t>421,8500</t>
  </si>
  <si>
    <t xml:space="preserve">Комков Александр </t>
  </si>
  <si>
    <t>Вахтин Аким</t>
  </si>
  <si>
    <t>107,30</t>
  </si>
  <si>
    <t>0,5932</t>
  </si>
  <si>
    <t>516,0840</t>
  </si>
  <si>
    <t>Савосин Марат</t>
  </si>
  <si>
    <t>0,5905</t>
  </si>
  <si>
    <t>498,9725</t>
  </si>
  <si>
    <t>Седых Александр</t>
  </si>
  <si>
    <t>0,5923</t>
  </si>
  <si>
    <t>352,5</t>
  </si>
  <si>
    <t>822,5</t>
  </si>
  <si>
    <t>487,1667</t>
  </si>
  <si>
    <t>Попов Евгений</t>
  </si>
  <si>
    <t>0,5902</t>
  </si>
  <si>
    <t>730,0</t>
  </si>
  <si>
    <t>430,8460</t>
  </si>
  <si>
    <t>Бердников Андрей</t>
  </si>
  <si>
    <t>105,00</t>
  </si>
  <si>
    <t>0,5976</t>
  </si>
  <si>
    <t>700,0</t>
  </si>
  <si>
    <t>418,3200</t>
  </si>
  <si>
    <t>Уманцев Павел</t>
  </si>
  <si>
    <t>655,0</t>
  </si>
  <si>
    <t>386,7775</t>
  </si>
  <si>
    <t>Роднин Роман</t>
  </si>
  <si>
    <t>103,30</t>
  </si>
  <si>
    <t>0,6011</t>
  </si>
  <si>
    <t xml:space="preserve">Ростов-на-Дону/Ростовская область </t>
  </si>
  <si>
    <t>426,6608</t>
  </si>
  <si>
    <t>Мацур Виктор</t>
  </si>
  <si>
    <t>108,60</t>
  </si>
  <si>
    <t>0,5909</t>
  </si>
  <si>
    <t xml:space="preserve">Еремашвили Роман </t>
  </si>
  <si>
    <t>Hausberger Samuel</t>
  </si>
  <si>
    <t>116,10</t>
  </si>
  <si>
    <t>0,5796</t>
  </si>
  <si>
    <t>770,0</t>
  </si>
  <si>
    <t>446,2920</t>
  </si>
  <si>
    <t xml:space="preserve">Stefan Larch </t>
  </si>
  <si>
    <t>Водовсков Виктор</t>
  </si>
  <si>
    <t>119,30</t>
  </si>
  <si>
    <t>0,5757</t>
  </si>
  <si>
    <t>385,0</t>
  </si>
  <si>
    <t>880,0</t>
  </si>
  <si>
    <t>506,6160</t>
  </si>
  <si>
    <t>Атанов Роман</t>
  </si>
  <si>
    <t>0,5743</t>
  </si>
  <si>
    <t>505,3840</t>
  </si>
  <si>
    <t>Larch Stefan</t>
  </si>
  <si>
    <t>114,50</t>
  </si>
  <si>
    <t>0,5817</t>
  </si>
  <si>
    <t>850,0</t>
  </si>
  <si>
    <t>494,4450</t>
  </si>
  <si>
    <t xml:space="preserve">Christoph Rieser </t>
  </si>
  <si>
    <t>Аверьянов Алексей</t>
  </si>
  <si>
    <t>119,80</t>
  </si>
  <si>
    <t>0,5751</t>
  </si>
  <si>
    <t>705,0</t>
  </si>
  <si>
    <t>405,4455</t>
  </si>
  <si>
    <t>Баландин Антон</t>
  </si>
  <si>
    <t>120,80</t>
  </si>
  <si>
    <t>0,5740</t>
  </si>
  <si>
    <t>630,0</t>
  </si>
  <si>
    <t>361,6200</t>
  </si>
  <si>
    <t xml:space="preserve">Котов Кирилл </t>
  </si>
  <si>
    <t>Завражин Роман</t>
  </si>
  <si>
    <t>0,5776</t>
  </si>
  <si>
    <t>Омаров Анар</t>
  </si>
  <si>
    <t>120,20</t>
  </si>
  <si>
    <t>0,5747</t>
  </si>
  <si>
    <t xml:space="preserve">Рыбалкин Дмитрий </t>
  </si>
  <si>
    <t>527,6209</t>
  </si>
  <si>
    <t>Романов Александр</t>
  </si>
  <si>
    <t>115,90</t>
  </si>
  <si>
    <t>0,5799</t>
  </si>
  <si>
    <t>665,0</t>
  </si>
  <si>
    <t>402,6014</t>
  </si>
  <si>
    <t>Суворов Юрий</t>
  </si>
  <si>
    <t>580,0</t>
  </si>
  <si>
    <t>392,8475</t>
  </si>
  <si>
    <t>Niculescu Ivan</t>
  </si>
  <si>
    <t>137,80</t>
  </si>
  <si>
    <t>0,5602</t>
  </si>
  <si>
    <t>785,0</t>
  </si>
  <si>
    <t>439,7570</t>
  </si>
  <si>
    <t>Гребенченко Денис</t>
  </si>
  <si>
    <t>134,80</t>
  </si>
  <si>
    <t>0,5621</t>
  </si>
  <si>
    <t>380,0</t>
  </si>
  <si>
    <t>980,0</t>
  </si>
  <si>
    <t>550,8580</t>
  </si>
  <si>
    <t>Дзюба Роман</t>
  </si>
  <si>
    <t>130,80</t>
  </si>
  <si>
    <t>0,5650</t>
  </si>
  <si>
    <t xml:space="preserve">Мелитополь/Запорожская </t>
  </si>
  <si>
    <t>312,5</t>
  </si>
  <si>
    <t>882,5</t>
  </si>
  <si>
    <t>498,6125</t>
  </si>
  <si>
    <t>564,4293</t>
  </si>
  <si>
    <t>0,5584</t>
  </si>
  <si>
    <t>218,1334</t>
  </si>
  <si>
    <t xml:space="preserve">Hungary/Bekes </t>
  </si>
  <si>
    <t xml:space="preserve">Colombia/Barranquilla/Atlantico </t>
  </si>
  <si>
    <t xml:space="preserve">Спорт-сервис/Реутов </t>
  </si>
  <si>
    <t xml:space="preserve">Курочкин Виктор </t>
  </si>
  <si>
    <t>Туманов Алексей</t>
  </si>
  <si>
    <t xml:space="preserve">Олейник Сергей </t>
  </si>
  <si>
    <t>Степанов Игорь</t>
  </si>
  <si>
    <t>Гадиев Риф</t>
  </si>
  <si>
    <t>Мазурантов Владимир</t>
  </si>
  <si>
    <t xml:space="preserve">Малов Вадим </t>
  </si>
  <si>
    <t xml:space="preserve">Austria/Alpbach/Tirol </t>
  </si>
  <si>
    <t xml:space="preserve">Austria/Radfeld/Tyrol </t>
  </si>
  <si>
    <t>Лучинский Сергей</t>
  </si>
  <si>
    <t>0.8635</t>
  </si>
  <si>
    <t>480,0</t>
  </si>
  <si>
    <t>414,4800</t>
  </si>
  <si>
    <t>Сальвадов Илья</t>
  </si>
  <si>
    <t>0.6451</t>
  </si>
  <si>
    <t>622,5</t>
  </si>
  <si>
    <t>401,5747</t>
  </si>
  <si>
    <t>717,0</t>
  </si>
  <si>
    <t>460,8876</t>
  </si>
  <si>
    <t>333,0</t>
  </si>
  <si>
    <t>376,1235</t>
  </si>
  <si>
    <t>492,0</t>
  </si>
  <si>
    <t>316,2576</t>
  </si>
  <si>
    <t>Place</t>
  </si>
  <si>
    <t>Name</t>
  </si>
  <si>
    <t xml:space="preserve">Name </t>
  </si>
  <si>
    <t xml:space="preserve">Age class </t>
  </si>
  <si>
    <t>Age class
date of birthday/age</t>
  </si>
  <si>
    <t>Own bodyweight</t>
  </si>
  <si>
    <t xml:space="preserve">Own bodyweight
</t>
  </si>
  <si>
    <t>Team</t>
  </si>
  <si>
    <t>Country/City/Region</t>
  </si>
  <si>
    <t>Squat</t>
  </si>
  <si>
    <t>Bench Press</t>
  </si>
  <si>
    <t>Deadlift</t>
  </si>
  <si>
    <t>Total</t>
  </si>
  <si>
    <t xml:space="preserve">Total </t>
  </si>
  <si>
    <t>Points</t>
  </si>
  <si>
    <t>Coach</t>
  </si>
  <si>
    <t>WEIGHT CLASS   48</t>
  </si>
  <si>
    <t>WEIGHT CLASS   52</t>
  </si>
  <si>
    <t>WEIGHT CLASS   56</t>
  </si>
  <si>
    <t>WEIGHT CLASS   60</t>
  </si>
  <si>
    <t>WEIGHT CLASS   67.5</t>
  </si>
  <si>
    <t>WEIGHT CLASS   75</t>
  </si>
  <si>
    <t>WEIGHT CLASS   82.5</t>
  </si>
  <si>
    <t>WEIGHT CLASS   90+</t>
  </si>
  <si>
    <t>WEIGHT CLASS   90</t>
  </si>
  <si>
    <t>WEIGHT CLASS   100</t>
  </si>
  <si>
    <t>WEIGHT CLASS   110</t>
  </si>
  <si>
    <t>WEIGHT CLASS   125</t>
  </si>
  <si>
    <t>WEIGHT CLASS   140</t>
  </si>
  <si>
    <t>WEIGHT CLASS   140+</t>
  </si>
  <si>
    <t>WEIGHT CLASS   44</t>
  </si>
  <si>
    <t>Open (06.03.1990)/27</t>
  </si>
  <si>
    <t>Open (19.08.1989)/28</t>
  </si>
  <si>
    <t>Open (05.09.1984)/33</t>
  </si>
  <si>
    <t>Open (12.11.1988)/28</t>
  </si>
  <si>
    <t>Open (13.04.1987)/30</t>
  </si>
  <si>
    <t>Open (11.07.1976)/41</t>
  </si>
  <si>
    <t>Open (07.06.1998)/19</t>
  </si>
  <si>
    <t>Open (25.01.1991)/26</t>
  </si>
  <si>
    <t>Open (11.03.1985)/32</t>
  </si>
  <si>
    <t>Open (25.08.1988)/29</t>
  </si>
  <si>
    <t>Open (08.08.1987)/30</t>
  </si>
  <si>
    <t>Open (04.02.1993)/24</t>
  </si>
  <si>
    <t>Open (03.11.1991)/25</t>
  </si>
  <si>
    <t>Open (26.10.1979)/37</t>
  </si>
  <si>
    <t>Open (01.08.1989)/28</t>
  </si>
  <si>
    <t>Open (24.10.1986)/31</t>
  </si>
  <si>
    <t>Open (20.07.1983)/34</t>
  </si>
  <si>
    <t>Open (24.03.1988)/29</t>
  </si>
  <si>
    <t>Open (02.08.1987)/30</t>
  </si>
  <si>
    <t>Open (09.03.1979)/38</t>
  </si>
  <si>
    <t>Open (22.12.1987)/29</t>
  </si>
  <si>
    <t>Open (19.11.1992)/24</t>
  </si>
  <si>
    <t>Open (18.11.1992)/24</t>
  </si>
  <si>
    <t>Open (28.06.1959)/58</t>
  </si>
  <si>
    <t>Open (09.07.1991)/26</t>
  </si>
  <si>
    <t>Open (06.01.1980)/37</t>
  </si>
  <si>
    <t>Open (21.05.1984)/33</t>
  </si>
  <si>
    <t>Open (24.12.1972)/44</t>
  </si>
  <si>
    <t>Open (11.12.1990)/26</t>
  </si>
  <si>
    <t>Open (15.07.1979)/38</t>
  </si>
  <si>
    <t xml:space="preserve">Open </t>
  </si>
  <si>
    <t>Open (16.07.1988)/29</t>
  </si>
  <si>
    <t>Open (04.11.1989)/27</t>
  </si>
  <si>
    <t>Open (24.12.1979)/37</t>
  </si>
  <si>
    <t>Open (01.04.2002)/15</t>
  </si>
  <si>
    <t>Open (13.06.1987)/30</t>
  </si>
  <si>
    <t>Open (22.01.1993)/24</t>
  </si>
  <si>
    <t>Open (15.03.1990)/27</t>
  </si>
  <si>
    <t>Open (08.10.1983)/34</t>
  </si>
  <si>
    <t>Open (14.10.1985)/32</t>
  </si>
  <si>
    <t>Open (27.08.1988)/29</t>
  </si>
  <si>
    <t>Open (25.12.1985)/31</t>
  </si>
  <si>
    <t>Open (26.07.1991)/26</t>
  </si>
  <si>
    <t>Open (17.12.1991)/25</t>
  </si>
  <si>
    <t>Open (21.07.1986)/31</t>
  </si>
  <si>
    <t>Open (26.05.1989)/28</t>
  </si>
  <si>
    <t>Open (25.02.1989)/28</t>
  </si>
  <si>
    <t>Open (24.08.1982)/35</t>
  </si>
  <si>
    <t>Open (18.09.1991)/26</t>
  </si>
  <si>
    <t>Open (04.05.1986)/31</t>
  </si>
  <si>
    <t>Open (20.09.1984)/33</t>
  </si>
  <si>
    <t>Open (16.09.1984)/33</t>
  </si>
  <si>
    <t>Open (02.10.1983)/34</t>
  </si>
  <si>
    <t>Open (05.06.1994)/23</t>
  </si>
  <si>
    <t>Open (01.11.1977)/39</t>
  </si>
  <si>
    <t>Open (07.07.1975)/42</t>
  </si>
  <si>
    <t>Open (06.06.1989)/28</t>
  </si>
  <si>
    <t>Open (08.11.1993)/23</t>
  </si>
  <si>
    <t>Open (05.11.1993)/23</t>
  </si>
  <si>
    <t>Open (19.09.1983)/34</t>
  </si>
  <si>
    <t>Open (12.04.1990)/27</t>
  </si>
  <si>
    <t>Open (13.10.1988)/29</t>
  </si>
  <si>
    <t>Open (12.12.1989)/27</t>
  </si>
  <si>
    <t>Open (29.07.1990)/27</t>
  </si>
  <si>
    <t>Open (14.06.1988)/29</t>
  </si>
  <si>
    <t>Open (05.08.1978)/39</t>
  </si>
  <si>
    <t>Open (05.05.1983)/34</t>
  </si>
  <si>
    <t>Open (25.04.2001)/16</t>
  </si>
  <si>
    <t>Open (09.09.1995)/22</t>
  </si>
  <si>
    <t>Open (07.10.1999)/18</t>
  </si>
  <si>
    <t>Open (09.01.1989)/28</t>
  </si>
  <si>
    <t>Open (29.04.1997)/20</t>
  </si>
  <si>
    <t>Open (31.07.1988)/29</t>
  </si>
  <si>
    <t>Open (20.06.1987)/30</t>
  </si>
  <si>
    <t>Open (31.12.1991)/25</t>
  </si>
  <si>
    <t>Open (29.03.1993)/24</t>
  </si>
  <si>
    <t>Open (22.02.2001)/16</t>
  </si>
  <si>
    <t>Open (30.06.1988)/29</t>
  </si>
  <si>
    <t>Open (06.03.1979)/38</t>
  </si>
  <si>
    <t>Open (05.06.1990)/27</t>
  </si>
  <si>
    <t>Open (14.06.1993)/24</t>
  </si>
  <si>
    <t>Open (19.10.1989)/28</t>
  </si>
  <si>
    <t>Open (09.04.1982)/35</t>
  </si>
  <si>
    <t>Open (16.12.1984)/32</t>
  </si>
  <si>
    <t>Open (10.12.1989)/27</t>
  </si>
  <si>
    <t>Open (27.09.1984)/33</t>
  </si>
  <si>
    <t>Open (09.04.1984)/33</t>
  </si>
  <si>
    <t>Open (02.06.1993)/24</t>
  </si>
  <si>
    <t>Open (22.07.1981)/36</t>
  </si>
  <si>
    <t>Open (17.05.1990)/27</t>
  </si>
  <si>
    <t>Open (23.11.1985)/31</t>
  </si>
  <si>
    <t>Open (28.10.1981)/35</t>
  </si>
  <si>
    <t>Open (28.01.1990)/27</t>
  </si>
  <si>
    <t>Open (28.05.1987)/30</t>
  </si>
  <si>
    <t>Open (06.06.1991)/26</t>
  </si>
  <si>
    <t>Open (09.02.1992)/25</t>
  </si>
  <si>
    <t>Open (19.06.1988)/29</t>
  </si>
  <si>
    <t>Open (04.07.1987)/30</t>
  </si>
  <si>
    <t>Open (01.12.1985)/31</t>
  </si>
  <si>
    <t>Open (23.10.1983)/34</t>
  </si>
  <si>
    <t>Open (21.03.1986)/31</t>
  </si>
  <si>
    <t>Open (04.04.1989)/28</t>
  </si>
  <si>
    <t>Open (28.11.1980)/36</t>
  </si>
  <si>
    <t>Open (22.11.1980)/36</t>
  </si>
  <si>
    <t>Open (21.08.1977)/40</t>
  </si>
  <si>
    <t>Open (29.10.1981)/35</t>
  </si>
  <si>
    <t>Open (01.04.1987)/30</t>
  </si>
  <si>
    <t>Open (24.12.1977)/39</t>
  </si>
  <si>
    <t>Open (18.04.1991)/26</t>
  </si>
  <si>
    <t>Open (05.11.1986)/30</t>
  </si>
  <si>
    <t>Open (17.04.1982)/35</t>
  </si>
  <si>
    <t>Open (09.10.1978)/39</t>
  </si>
  <si>
    <t>Open (28.04.1984)/33</t>
  </si>
  <si>
    <t>Open (28.06.1993)/24</t>
  </si>
  <si>
    <t>Open (19.10.1988)/29</t>
  </si>
  <si>
    <t>Open (20.04.1983)/34</t>
  </si>
  <si>
    <t>Open (20.08.1990)/27</t>
  </si>
  <si>
    <t>Open (22.01.1987)/30</t>
  </si>
  <si>
    <t>Open (01.08.1988)/29</t>
  </si>
  <si>
    <t>Open (06.08.1990)/27</t>
  </si>
  <si>
    <t>Open (29.10.1994)/22</t>
  </si>
  <si>
    <t>Open (05.07.1997)/20</t>
  </si>
  <si>
    <t>Open (12.04.1996)/21</t>
  </si>
  <si>
    <t>Open (03.09.1990)/27</t>
  </si>
  <si>
    <t>Open (02.06.1986)/31</t>
  </si>
  <si>
    <t>Open (23.02.1995)/22</t>
  </si>
  <si>
    <t>Open (08.05.1991)/26</t>
  </si>
  <si>
    <t>Open (22.02.1989)/28</t>
  </si>
  <si>
    <t>Open (28.08.1994)/23</t>
  </si>
  <si>
    <t>Open (12.07.1990)/27</t>
  </si>
  <si>
    <t>Open (23.02.1991)/26</t>
  </si>
  <si>
    <t>Open (11.07.1992)/25</t>
  </si>
  <si>
    <t>Open (24.05.1993)/24</t>
  </si>
  <si>
    <t>Open (28.02.1988)/29</t>
  </si>
  <si>
    <t>Open (08.04.1990)/27</t>
  </si>
  <si>
    <t>Open (13.05.1988)/29</t>
  </si>
  <si>
    <t>Open (10.10.1991)/26</t>
  </si>
  <si>
    <t>Open (17.02.1979)/38</t>
  </si>
  <si>
    <t>Open (20.09.1986)/31</t>
  </si>
  <si>
    <t>Open (21.03.1978)/39</t>
  </si>
  <si>
    <t>Open (07.11.1982)/34</t>
  </si>
  <si>
    <t>Open (03.02.1964)/53</t>
  </si>
  <si>
    <t>Open (29.08.1988)/29</t>
  </si>
  <si>
    <t>Open (13.10.1990)/27</t>
  </si>
  <si>
    <t>Open (23.01.1990)/27</t>
  </si>
  <si>
    <t>Open (06.11.1991)/25</t>
  </si>
  <si>
    <t>Open (26.04.1985)/32</t>
  </si>
  <si>
    <t>Open (06.10.1983)/34</t>
  </si>
  <si>
    <t>Open (26.05.1995)/22</t>
  </si>
  <si>
    <t>Open (23.10.1990)/27</t>
  </si>
  <si>
    <t>Open (24.05.1990)/27</t>
  </si>
  <si>
    <t>Open (15.05.1991)/26</t>
  </si>
  <si>
    <t>Open (15.07.1986)/31</t>
  </si>
  <si>
    <t>Open (07.02.1985)/32</t>
  </si>
  <si>
    <t>Open (22.10.1982)/35</t>
  </si>
  <si>
    <t>Open (15.08.1973)/44</t>
  </si>
  <si>
    <t>Open (06.04.1993)/24</t>
  </si>
  <si>
    <t>Open (05.08.1993)/24</t>
  </si>
  <si>
    <t>Open (04.09.1989)/28</t>
  </si>
  <si>
    <t>Open (31.01.1991)/26</t>
  </si>
  <si>
    <t>Open (22.06.1985)/32</t>
  </si>
  <si>
    <t>Open (08.11.1990)/26</t>
  </si>
  <si>
    <t>Open (25.03.1968)/49</t>
  </si>
  <si>
    <t>Open (05.09.1995)/22</t>
  </si>
  <si>
    <t>Open (23.10.1996)/21</t>
  </si>
  <si>
    <t>Open (30.08.1981)/36</t>
  </si>
  <si>
    <t>Open (10.09.1986)/31</t>
  </si>
  <si>
    <t>Open (28.06.1992)/25</t>
  </si>
  <si>
    <t>Open (10.06.1986)/31</t>
  </si>
  <si>
    <t>Open (29.12.1992)/24</t>
  </si>
  <si>
    <t>Open (01.01.1992)/25</t>
  </si>
  <si>
    <t>Open (14.09.1992)/25</t>
  </si>
  <si>
    <t>Open (09.10.1982)/35</t>
  </si>
  <si>
    <t>Open (26.02.1991)/26</t>
  </si>
  <si>
    <t>Open (29.09.1971)/46</t>
  </si>
  <si>
    <t>Open (17.11.1978)/38</t>
  </si>
  <si>
    <t>Open (29.04.1991)/26</t>
  </si>
  <si>
    <t>Open (27.11.1984)/32</t>
  </si>
  <si>
    <t>Open (01.10.1981)/36</t>
  </si>
  <si>
    <t>Open (03.01.1988)/29</t>
  </si>
  <si>
    <t>Open (08.12.1979)/37</t>
  </si>
  <si>
    <t>Open (13.07.1999)/18</t>
  </si>
  <si>
    <t>Open (20.02.1989)/28</t>
  </si>
  <si>
    <t>Open (02.01.1994)/23</t>
  </si>
  <si>
    <t>Open (25.03.1996)/21</t>
  </si>
  <si>
    <t>Open (07.12.1982)/34</t>
  </si>
  <si>
    <t>Open (02.03.1987)/30</t>
  </si>
  <si>
    <t>Open (15.02.1991)/26</t>
  </si>
  <si>
    <t>Open (17.02.1989)/28</t>
  </si>
  <si>
    <t>Open (11.01.1990)/27</t>
  </si>
  <si>
    <t>Open (08.02.1989)/28</t>
  </si>
  <si>
    <t>Open (15.06.2000)/17</t>
  </si>
  <si>
    <t>Open (08.08.1991)/26</t>
  </si>
  <si>
    <t>Open (10.02.1990)/27</t>
  </si>
  <si>
    <t>Open (09.09.1991)/26</t>
  </si>
  <si>
    <t>Open (11.10.1985)/32</t>
  </si>
  <si>
    <t>Open (28.02.1989)/28</t>
  </si>
  <si>
    <t>Open (20.09.1982)/35</t>
  </si>
  <si>
    <t>Open (30.11.1990)/26</t>
  </si>
  <si>
    <t>Open (10.08.1982)/35</t>
  </si>
  <si>
    <t>Open (07.06.1988)/29</t>
  </si>
  <si>
    <t>Open (26.07.1985)/32</t>
  </si>
  <si>
    <t>Teenager 17-19 (26.02.1998)/19</t>
  </si>
  <si>
    <t>Teenager 17-19 (07.06.1998)/19</t>
  </si>
  <si>
    <t>Teenager 14-16 (18.04.2004)/13</t>
  </si>
  <si>
    <t xml:space="preserve">Teenager </t>
  </si>
  <si>
    <t>Teenager 13 - 19 (22.02.2007)/10</t>
  </si>
  <si>
    <t>Teenager 13 - 19 (28.10.2004)/12</t>
  </si>
  <si>
    <t>Junior (18.02.1995)/22</t>
  </si>
  <si>
    <t>Junior (05.06.1994)/23</t>
  </si>
  <si>
    <t>Junior (17.06.1996)/21</t>
  </si>
  <si>
    <t>Junior (07.02.1994)/23</t>
  </si>
  <si>
    <t>Junior (10.07.1997)/20</t>
  </si>
  <si>
    <t>Junior (13.02.1995)/22</t>
  </si>
  <si>
    <t>Junior (29.11.1994)/22</t>
  </si>
  <si>
    <t xml:space="preserve">Junior </t>
  </si>
  <si>
    <t>Junior (28.08.1997)/20</t>
  </si>
  <si>
    <t>Junior (27.11.1994)/22</t>
  </si>
  <si>
    <t>Junior (02.01.1995)/22</t>
  </si>
  <si>
    <t>Junior (01.08.1994)/23</t>
  </si>
  <si>
    <t>Masters 40-49 (06.02.1973)/44</t>
  </si>
  <si>
    <t>Masters 40-49 (11.07.1976)/41</t>
  </si>
  <si>
    <t>Masters 40-49 (21.12.1970)/46</t>
  </si>
  <si>
    <t>Masters 50-59 (30.12.1963)/53</t>
  </si>
  <si>
    <t>Masters 60-69 (28.06.1950)/67</t>
  </si>
  <si>
    <t>Masters 40-49 (24.08.1973)/44</t>
  </si>
  <si>
    <t>Masters 40-49 (27.05.1968)/49</t>
  </si>
  <si>
    <t>Masters 50-59 (10.01.1961)/56</t>
  </si>
  <si>
    <t>Masters 50-59 (28.06.1959)/58</t>
  </si>
  <si>
    <t>Masters 50-59 (03.12.1963)/53</t>
  </si>
  <si>
    <t>Masters 60-69 (19.01.1952)/65</t>
  </si>
  <si>
    <t>Masters 60-69 (09.05.1956)/61</t>
  </si>
  <si>
    <t>Masters 40-49 (24.12.1972)/44</t>
  </si>
  <si>
    <t>Masters 50-59 (02.09.1962)/55</t>
  </si>
  <si>
    <t xml:space="preserve">Masters </t>
  </si>
  <si>
    <t xml:space="preserve">Masters 50-59 </t>
  </si>
  <si>
    <t xml:space="preserve">Masters 40-49 </t>
  </si>
  <si>
    <t>Masters 40-49 (28.10.1975)/41</t>
  </si>
  <si>
    <t>Masters 40-49 (05.08.1972)/45</t>
  </si>
  <si>
    <t>Masters 40-49 (01.01.1973)/44</t>
  </si>
  <si>
    <t>Masters 40-49 (13.12.1976)/40</t>
  </si>
  <si>
    <t>Masters 40-49 (25.07.1975)/42</t>
  </si>
  <si>
    <t>Masters 40-49 (07.10.1971)/46</t>
  </si>
  <si>
    <t>Masters 40-49 (26.07.1974)/43</t>
  </si>
  <si>
    <t>Masters 50-59 (08.03.1966)/51</t>
  </si>
  <si>
    <t>Masters 60-69 (03.09.1951)/66</t>
  </si>
  <si>
    <t>Masters 40-49 (05.04.1972)/45</t>
  </si>
  <si>
    <t>Masters 40-49 (28.01.1972)/45</t>
  </si>
  <si>
    <t>Masters 40-49 (12.11.1972)/44</t>
  </si>
  <si>
    <t>Masters 40-49 (18.12.1976)/40</t>
  </si>
  <si>
    <t>Masters 50-59 (01.08.1959)/58</t>
  </si>
  <si>
    <t>Masters 50-59 (03.05.1964)/53</t>
  </si>
  <si>
    <t>Masters 40-49 (08.12.1976)/40</t>
  </si>
  <si>
    <t>Masters 50-59 (05.11.1960)/56</t>
  </si>
  <si>
    <t>Masters 40-49 (25.09.1973)/44</t>
  </si>
  <si>
    <t>Masters 40-49 (07.10.1977)/40</t>
  </si>
  <si>
    <t>Masters 40-49 (03.04.1970)/47</t>
  </si>
  <si>
    <t>Masters 40-49 (21.08.1977)/40</t>
  </si>
  <si>
    <t>Masters 50-59 (20.01.1963)/54</t>
  </si>
  <si>
    <t>Masters 50-59 (28.09.1967)/50</t>
  </si>
  <si>
    <t xml:space="preserve">Masters 60-69 </t>
  </si>
  <si>
    <t>Masters 50-59 (29.08.1964)/53</t>
  </si>
  <si>
    <t>Masters 40-49 (24.07.1977)/40</t>
  </si>
  <si>
    <t>Masters 40-49 (07.03.1974)/43</t>
  </si>
  <si>
    <t>Masters 40-49 (29.10.1972)/44</t>
  </si>
  <si>
    <t>Masters 50-59 (21.07.1966)/51</t>
  </si>
  <si>
    <t>Masters 40-49 (22.01.1974)/43</t>
  </si>
  <si>
    <t>Masters 40-49 (31.08.1975)/42</t>
  </si>
  <si>
    <t>Masters 40-49 (15.01.1977)/40</t>
  </si>
  <si>
    <t>Masters 50-59 (03.02.1964)/53</t>
  </si>
  <si>
    <t>Masters 60-69 (20.08.1955)/62</t>
  </si>
  <si>
    <t>Masters 60-69 (17.02.1957)/60</t>
  </si>
  <si>
    <t>Masters 40-49 (07.10.1975)/42</t>
  </si>
  <si>
    <t>Masters 50-59 (03.06.1965)/52</t>
  </si>
  <si>
    <t>Masters 40-49 (15.08.1973)/44</t>
  </si>
  <si>
    <t>Masters 40-49 (02.02.1973)/44</t>
  </si>
  <si>
    <t>Masters 50-59 (22.11.1965)/51</t>
  </si>
  <si>
    <t>Masters 40-49 (25.03.1968)/49</t>
  </si>
  <si>
    <t>Masters 40-49 (02.07.1974)/43</t>
  </si>
  <si>
    <t>Masters 60-69 (02.04.1953)/64</t>
  </si>
  <si>
    <t>Masters 40-49 (03.02.1977)/40</t>
  </si>
  <si>
    <t>Masters 50-59 (06.04.1967)/50</t>
  </si>
  <si>
    <t>Masters 40-49 (20.09.1970)/47</t>
  </si>
  <si>
    <t>Masters 40 - 49 (07.03.1974)/43</t>
  </si>
  <si>
    <t>Masters 40 - 49 (04.05.1975)/42</t>
  </si>
  <si>
    <t>Masters 40 - 49 (22.06.1977)/40</t>
  </si>
  <si>
    <t>Masters 50 - 59 (10.05.1960)/57</t>
  </si>
  <si>
    <t>Masters 40 - 49 (31.05.1976)/41</t>
  </si>
  <si>
    <t>Masters 40 - 49 (03.04.1970)/47</t>
  </si>
  <si>
    <t>Masters 40 - 49 (21.01.1968)/49</t>
  </si>
  <si>
    <t xml:space="preserve">Masters 50 - 59 </t>
  </si>
  <si>
    <t xml:space="preserve">Masters 40 - 49 </t>
  </si>
  <si>
    <t>Teenager 17-19 (22.02.1999)/18</t>
  </si>
  <si>
    <t>Teenager 17-19 (07.07.1999)/18</t>
  </si>
  <si>
    <t>Teenager 14-16 (01.04.2002)/15</t>
  </si>
  <si>
    <t>Teenager 17-19 (14.11.1997)/19</t>
  </si>
  <si>
    <t>Teenager 17-19 (09.01.1998)/19</t>
  </si>
  <si>
    <t>Teenager 14-16 (14.07.2004)/13</t>
  </si>
  <si>
    <t>Teenager 14-16 (25.04.2001)/16</t>
  </si>
  <si>
    <t>Teenager 14-16 (24.01.2001)/16</t>
  </si>
  <si>
    <t>Teenager 17-19 (07.10.1999)/18</t>
  </si>
  <si>
    <t>Teenager 14-16 (25.12.2002)/14</t>
  </si>
  <si>
    <t>Teenager 17-19 (01.05.1999)/18</t>
  </si>
  <si>
    <t>Teenager 17-19 (03.09.2000)/17</t>
  </si>
  <si>
    <t>Teenager 14-16 (25.12.2000)/16</t>
  </si>
  <si>
    <t xml:space="preserve">Teenager 17-19 </t>
  </si>
  <si>
    <t xml:space="preserve">Teenager 14-16 </t>
  </si>
  <si>
    <t>Teenager 17-19 (22.04.1999)/18</t>
  </si>
  <si>
    <t>Teenager 17-19 (09.07.1998)/19</t>
  </si>
  <si>
    <t>Teenager 17-19 (27.09.1999)/18</t>
  </si>
  <si>
    <t>Teenager 17-19 (21.05.1998)/19</t>
  </si>
  <si>
    <t>Teenager 17-19 (04.07.1998)/19</t>
  </si>
  <si>
    <t>Teenager 14-16 (28.12.1999)/17</t>
  </si>
  <si>
    <t>Teenager 13 - 19 (30.04.2002)/15</t>
  </si>
  <si>
    <t>Teenager 13 - 19 (04.02.2001)/16</t>
  </si>
  <si>
    <t>Teenager 13 - 19 (11.09.2004)/13</t>
  </si>
  <si>
    <t>Junior (28.03.1995)/22</t>
  </si>
  <si>
    <t>Junior (22.08.1995)/22</t>
  </si>
  <si>
    <t>Junior (03.08.1995)/22</t>
  </si>
  <si>
    <t>Junior (30.01.1994)/23</t>
  </si>
  <si>
    <t>Junior (03.07.1995)/22</t>
  </si>
  <si>
    <t>Junior (03.01.1995)/22</t>
  </si>
  <si>
    <t>Junior (09.10.1995)/22</t>
  </si>
  <si>
    <t>Junior (07.06.1995)/22</t>
  </si>
  <si>
    <t>Junior (08.10.1996)/21</t>
  </si>
  <si>
    <t>Junior (26.10.1994)/22</t>
  </si>
  <si>
    <t>Junior (09.09.1995)/22</t>
  </si>
  <si>
    <t>Junior (29.04.1997)/20</t>
  </si>
  <si>
    <t>Junior (18.08.1995)/22</t>
  </si>
  <si>
    <t>Junior (04.04.1996)/21</t>
  </si>
  <si>
    <t>Junior (16.12.1996)/20</t>
  </si>
  <si>
    <t>Junior (01.02.1996)/21</t>
  </si>
  <si>
    <t>Junior (26.02.1996)/21</t>
  </si>
  <si>
    <t>Junior (08.04.1997)/20</t>
  </si>
  <si>
    <t>Junior (01.11.1993)/23</t>
  </si>
  <si>
    <t>Junior (23.03.1995)/22</t>
  </si>
  <si>
    <t>Junior (17.07.1995)/22</t>
  </si>
  <si>
    <t>Junior (29.10.1994)/22</t>
  </si>
  <si>
    <t>Junior (12.04.1996)/21</t>
  </si>
  <si>
    <t>Junior (23.02.1995)/22</t>
  </si>
  <si>
    <t>Junior (14.12.1996)/20</t>
  </si>
  <si>
    <t>Junior (18.09.1997)/20</t>
  </si>
  <si>
    <t>Junior (26.05.1995)/22</t>
  </si>
  <si>
    <t>Junior (11.12.1996)/20</t>
  </si>
  <si>
    <t>Junior (10.10.1996)/21</t>
  </si>
  <si>
    <t>Junior (05.09.1995)/22</t>
  </si>
  <si>
    <t>Junior (17.05.1997)/20</t>
  </si>
  <si>
    <t xml:space="preserve">Junior 20 - 23 </t>
  </si>
  <si>
    <t>Junior 20 - 23 (25.03.1996)/21</t>
  </si>
  <si>
    <t>Junior 20 - 23 (01.12.1996)/20</t>
  </si>
  <si>
    <t>Junior 20 - 23 (15.07.1994)/23</t>
  </si>
  <si>
    <t>Junior 20 - 23 (22.08.1994)/23</t>
  </si>
  <si>
    <t>Best lifters</t>
  </si>
  <si>
    <t>Women</t>
  </si>
  <si>
    <t>Men</t>
  </si>
  <si>
    <t>Rec</t>
  </si>
  <si>
    <t>Weight</t>
  </si>
  <si>
    <t>Reps</t>
  </si>
  <si>
    <t>Tonnage</t>
  </si>
  <si>
    <t xml:space="preserve">Personally </t>
  </si>
  <si>
    <t xml:space="preserve">Russia/Шарья/Костромская область </t>
  </si>
  <si>
    <t>Russia/Кинель-Черкасы/Самарская область</t>
  </si>
  <si>
    <t xml:space="preserve">Russia/Симферополь/Республика Крым </t>
  </si>
  <si>
    <t xml:space="preserve">Russia/Рязань/Рязанская область </t>
  </si>
  <si>
    <t xml:space="preserve">Russia/Королёв/Московская область </t>
  </si>
  <si>
    <t xml:space="preserve">Russia/Мытищи/Московская область </t>
  </si>
  <si>
    <t xml:space="preserve">Russia/Махачкала/Республика Дагестан </t>
  </si>
  <si>
    <t xml:space="preserve">Russia/Санкт-Петербург </t>
  </si>
  <si>
    <t xml:space="preserve">Russia/Реутов/Московская область </t>
  </si>
  <si>
    <t xml:space="preserve">India </t>
  </si>
  <si>
    <t>Iran</t>
  </si>
  <si>
    <t>Uzbekistan</t>
  </si>
  <si>
    <t>Uzbekistan/Ташкент</t>
  </si>
  <si>
    <t xml:space="preserve">Armenia </t>
  </si>
  <si>
    <t xml:space="preserve">Armenia/Ереван </t>
  </si>
  <si>
    <t>Kazakhstan</t>
  </si>
  <si>
    <t>Kazakhstan/Алматы/Алматинская область</t>
  </si>
  <si>
    <t xml:space="preserve">Kazakhstan </t>
  </si>
  <si>
    <t>Kazakhstan/Павлодар/Павлодарская область</t>
  </si>
  <si>
    <t>Ukraine</t>
  </si>
  <si>
    <t>Ukraine/Алчевск/Луганская область</t>
  </si>
  <si>
    <t xml:space="preserve">Ukraine/Кривой Рог </t>
  </si>
  <si>
    <t>Ukraine/Одесса</t>
  </si>
  <si>
    <t>Ukraine/Мелитополь/Запорожская область</t>
  </si>
  <si>
    <t xml:space="preserve">Belarus </t>
  </si>
  <si>
    <t>Belarus/Минск/Минская область</t>
  </si>
  <si>
    <t>Belarus/Бобруйск/Гомельская область</t>
  </si>
  <si>
    <t>Belarus/Могилев/Могилевская область</t>
  </si>
  <si>
    <t>Belarus</t>
  </si>
  <si>
    <t>Belarus/Береза/Брестская область</t>
  </si>
  <si>
    <t>Belarus/Брест/Брестская область</t>
  </si>
  <si>
    <t>Belarus/Орша/Витебская область</t>
  </si>
  <si>
    <t>Belarus/Гомель/Гомельская область</t>
  </si>
  <si>
    <t xml:space="preserve">Mongolia </t>
  </si>
  <si>
    <t xml:space="preserve">Mongolia/Улан Батор </t>
  </si>
  <si>
    <t xml:space="preserve">Mongolia/Улан Батор/ </t>
  </si>
  <si>
    <t>Mongolia</t>
  </si>
  <si>
    <t>Mongolia/Улан Батор</t>
  </si>
  <si>
    <t>Estonia</t>
  </si>
  <si>
    <t>India/Surat</t>
  </si>
  <si>
    <t>Iran/Tehran</t>
  </si>
  <si>
    <t xml:space="preserve">Estonia/Tallinn </t>
  </si>
  <si>
    <t>WRPF World Championship
WRPF Amateurs Powerlifting DT
Russia//Moscow 25 - 29 October 2017</t>
  </si>
  <si>
    <t xml:space="preserve">Russia//Смоленск/Смоленская область </t>
  </si>
  <si>
    <t xml:space="preserve">Russia//Moscow </t>
  </si>
  <si>
    <t>Russia//Наро-Фоминск/Московская область</t>
  </si>
  <si>
    <t xml:space="preserve">Russia//Воскресенск/Московская область </t>
  </si>
  <si>
    <t xml:space="preserve">Russia//Новочеркасск/Ростовская область </t>
  </si>
  <si>
    <t xml:space="preserve">Russia//Шарья/Костромская область </t>
  </si>
  <si>
    <t>Russia//Кинель-Черкасы/Самарская область</t>
  </si>
  <si>
    <t xml:space="preserve">Russia//Симферополь/Республика Крым </t>
  </si>
  <si>
    <t xml:space="preserve">Russia//Рязань/Рязанская область </t>
  </si>
  <si>
    <t xml:space="preserve">Russia//Королёв/Московская область </t>
  </si>
  <si>
    <t xml:space="preserve">Russia//Мытищи/Московская область </t>
  </si>
  <si>
    <t xml:space="preserve">Russia//Ленинск-Кузнецкий/Кемеровская область </t>
  </si>
  <si>
    <t xml:space="preserve">Russia//Сухум/Республика Абхазия </t>
  </si>
  <si>
    <t xml:space="preserve">Russia//Саранск/Республика Мордовия </t>
  </si>
  <si>
    <t xml:space="preserve">Russia//Междуреченский/Ханты-Мансийский авт. округ </t>
  </si>
  <si>
    <t xml:space="preserve">Russia//Пятигорск/Ставропольский край </t>
  </si>
  <si>
    <t xml:space="preserve">Russia//Красноперекопск/Республика Крым </t>
  </si>
  <si>
    <t xml:space="preserve">Russia//Махачкала/Республика Дагестан </t>
  </si>
  <si>
    <t xml:space="preserve">Russia//с.п Н.Курп/Кабардино Балкарская республика </t>
  </si>
  <si>
    <t xml:space="preserve">Russia//Санкт-Петербург </t>
  </si>
  <si>
    <t xml:space="preserve">Russia//Реутов/Московская область </t>
  </si>
  <si>
    <t>WRPF World Championship
WRPF Amateurs Powerlifting
Russia//Moscow 25 - 29 October 2017</t>
  </si>
  <si>
    <t xml:space="preserve">Russia/Отрадный/Самарская область </t>
  </si>
  <si>
    <t xml:space="preserve">Russia/Ростов-на-Дону/Ростовская область </t>
  </si>
  <si>
    <t xml:space="preserve">Russia/Истра/Московская область </t>
  </si>
  <si>
    <t xml:space="preserve">Russia/Екатеринбург/Свердловская область </t>
  </si>
  <si>
    <t xml:space="preserve">Russia/Иваново/Ивановская область </t>
  </si>
  <si>
    <t xml:space="preserve">Russia/Волгоград/Волгоградская область </t>
  </si>
  <si>
    <t xml:space="preserve">Russia/Ессентуки/Ставропольский край </t>
  </si>
  <si>
    <t xml:space="preserve">Russia/Жуковский/Московская область </t>
  </si>
  <si>
    <t xml:space="preserve">Russia/Нижний Новгород/Нижегородская область </t>
  </si>
  <si>
    <t xml:space="preserve">Russia/Астрахань/Астраханская область </t>
  </si>
  <si>
    <t xml:space="preserve">Russia/Вельск/Архангельская область </t>
  </si>
  <si>
    <t xml:space="preserve">Russia/Касимов/Рязанская область </t>
  </si>
  <si>
    <t>WRPF World Championship
WRPF Amateurs Powerlifting Classical DT 
Russia//Moscow 25 - 29 October 2017</t>
  </si>
  <si>
    <t xml:space="preserve">Russia/Липецк/Липецкая область </t>
  </si>
  <si>
    <t xml:space="preserve">Russia/Красноармейск/Московская область </t>
  </si>
  <si>
    <t xml:space="preserve">Russia/Рошаль/Московская область </t>
  </si>
  <si>
    <t xml:space="preserve">Russia/Озёрск/Челябинская область </t>
  </si>
  <si>
    <t xml:space="preserve">Russia/Десногорск/Смоленская область </t>
  </si>
  <si>
    <t xml:space="preserve">Russia/Тюмень/Тюменская область </t>
  </si>
  <si>
    <t xml:space="preserve">Russia/Томск/Томская область </t>
  </si>
  <si>
    <t>Russia/Армянск/Республика Крым</t>
  </si>
  <si>
    <t xml:space="preserve">Russia/Саратов/Саратовская область </t>
  </si>
  <si>
    <t xml:space="preserve">Russia/Петрозаводск/Республика Карелия </t>
  </si>
  <si>
    <t xml:space="preserve">Russia/Балашиха/Московская область </t>
  </si>
  <si>
    <t xml:space="preserve">Russia/Кубинка/Московская область </t>
  </si>
  <si>
    <t xml:space="preserve">Russia/Гагарин/Смоленская область </t>
  </si>
  <si>
    <t xml:space="preserve">Russia/Сергиев Посад/Московская область </t>
  </si>
  <si>
    <t xml:space="preserve">Russia/Зеленоградск/Калининградская область </t>
  </si>
  <si>
    <t xml:space="preserve">Russia/Находка/Приморский край </t>
  </si>
  <si>
    <t xml:space="preserve">Russia/Наро-Фоминск/Московская область </t>
  </si>
  <si>
    <t xml:space="preserve">Russia/Химки/Московская область </t>
  </si>
  <si>
    <t xml:space="preserve">Russia/Сафоново/Смоленская область </t>
  </si>
  <si>
    <t xml:space="preserve">Russia/Пермь/Пермский край </t>
  </si>
  <si>
    <t xml:space="preserve">Russia/Урай/Ханты-Мансийский авт. окр. </t>
  </si>
  <si>
    <t xml:space="preserve">Russia/Хабаровск/Хабаровский край </t>
  </si>
  <si>
    <t xml:space="preserve">Russia/Рузаевка/Республика Мордовия </t>
  </si>
  <si>
    <t xml:space="preserve">Russia/Назрань/Республика Ингушетия </t>
  </si>
  <si>
    <t xml:space="preserve">Russia/Орехово-Зуево/Московская область </t>
  </si>
  <si>
    <t xml:space="preserve">Russia/Гороховец/Владимирская область </t>
  </si>
  <si>
    <t xml:space="preserve">Russia/Лысьва/Пермский край </t>
  </si>
  <si>
    <t xml:space="preserve">Russia/Великие Луки/Псковская область </t>
  </si>
  <si>
    <t xml:space="preserve">Russia/Феодосия/Республика Крым </t>
  </si>
  <si>
    <t xml:space="preserve">Russia/Ярославль/Ярославская область </t>
  </si>
  <si>
    <t xml:space="preserve">Russia/Балашов/Саратовская область </t>
  </si>
  <si>
    <t xml:space="preserve">Russia/Омск/Омская область </t>
  </si>
  <si>
    <t>WRPF World Championship
WRPF Amateurs Powerlifting Classical
Russia//Moscow 25 - 29 October 2017</t>
  </si>
  <si>
    <t xml:space="preserve">Russia/Дмитров/Московская область </t>
  </si>
  <si>
    <t xml:space="preserve">Russia/Клин/Московская область </t>
  </si>
  <si>
    <t xml:space="preserve">Russia/Междуреченский/Ханты-Мансийский авт. окр. </t>
  </si>
  <si>
    <t xml:space="preserve">Russia/Самара/Самарская область </t>
  </si>
  <si>
    <t xml:space="preserve">Russia/Артём/Приморский край </t>
  </si>
  <si>
    <t xml:space="preserve">Russia/Нальчик/Кабардино-Балкарская республика </t>
  </si>
  <si>
    <t xml:space="preserve">Russia/Барнаул/Алтайский край </t>
  </si>
  <si>
    <t xml:space="preserve">Russia/Чита/Забайкальский край </t>
  </si>
  <si>
    <t xml:space="preserve">Russia/Балаково/Саратовская область </t>
  </si>
  <si>
    <t xml:space="preserve">Russia/Тольятти/Самарская область </t>
  </si>
  <si>
    <t xml:space="preserve">Russia/Дербент/Республика Дагестан </t>
  </si>
  <si>
    <t xml:space="preserve">Russia/Краснодар/Краснодарский край </t>
  </si>
  <si>
    <t xml:space="preserve">Russia/Дрезна/Московская область </t>
  </si>
  <si>
    <t xml:space="preserve">Russia/Вязники/Владимирская область </t>
  </si>
  <si>
    <t xml:space="preserve">Russia/Уфа/Башкортостан </t>
  </si>
  <si>
    <t xml:space="preserve">Russia/Челябинск/Челябинская область </t>
  </si>
  <si>
    <t xml:space="preserve">Russia/Раменское/Московская область </t>
  </si>
  <si>
    <t xml:space="preserve">Russia/Дубна/Московская область </t>
  </si>
  <si>
    <t xml:space="preserve">Russia/Шлиссельбург/Ленинградская область </t>
  </si>
  <si>
    <t xml:space="preserve">Russia/Пенза/Пензенская область </t>
  </si>
  <si>
    <t xml:space="preserve">Russia/Санкт-Петербург  </t>
  </si>
  <si>
    <t xml:space="preserve">Russia/Шахты/Ростовская область </t>
  </si>
  <si>
    <t xml:space="preserve">Russia/Подольск/Московская область </t>
  </si>
  <si>
    <t xml:space="preserve">Russia/Ангарск/Иркутская область </t>
  </si>
  <si>
    <t xml:space="preserve">Russia/Воронеж/Воронежская область </t>
  </si>
  <si>
    <t xml:space="preserve">Russia/Ковров/Владимирская область </t>
  </si>
  <si>
    <t xml:space="preserve">Russia/Обнинск/Калужская область </t>
  </si>
  <si>
    <t xml:space="preserve">Russia/Красногорск/Московская область </t>
  </si>
  <si>
    <t>WRPF World Championship
WRPF Amateurs Push Pull DT
Russia//Moscow 25 - 29 October 2017</t>
  </si>
  <si>
    <t xml:space="preserve">Russia/Карачаевск/Карачаево-Черкесия </t>
  </si>
  <si>
    <t xml:space="preserve">Russia/Нальчик/Кабардино-Балкария </t>
  </si>
  <si>
    <t xml:space="preserve">Russia/Таганрог/Ростовская область </t>
  </si>
  <si>
    <t xml:space="preserve">Russia/Протвино/Московская область </t>
  </si>
  <si>
    <t xml:space="preserve">Russia/Владивосток/Приморский край </t>
  </si>
  <si>
    <t>Russia/Ростов-на-Дону/Ростовская область</t>
  </si>
  <si>
    <t xml:space="preserve">Russia/Брянск/Брянская область </t>
  </si>
  <si>
    <t xml:space="preserve">Russia/Чебоксары/Республика Чувашия </t>
  </si>
  <si>
    <t xml:space="preserve">Russia/Одинцово/Московская область </t>
  </si>
  <si>
    <t>WRPF World Championship 
WRPF Folk Bench Press (1/2 ) DT
Russia//Moscow 25 - 29 October 2017</t>
  </si>
  <si>
    <t>WRPF World Championship 
WRPF Folk Bench Press (1 ) DT
Russia//Moscow 25 - 29 October 2017</t>
  </si>
  <si>
    <t xml:space="preserve">Russia/Мосальск/Калужская область </t>
  </si>
  <si>
    <t xml:space="preserve">Russia/Нововоронеж/Воронежская область </t>
  </si>
  <si>
    <t xml:space="preserve">Russia/Можайск/Московская область </t>
  </si>
  <si>
    <t xml:space="preserve">Russia/Железнодорожный/Московская область </t>
  </si>
  <si>
    <t xml:space="preserve">Russia/Абакан/Республика Хакасия </t>
  </si>
  <si>
    <t xml:space="preserve">Russia/Курган/Курганская область </t>
  </si>
  <si>
    <t xml:space="preserve">Russia/Александров/Владимирская область </t>
  </si>
  <si>
    <t>Austria</t>
  </si>
  <si>
    <t xml:space="preserve">Kazakhstan/Атырау/Атырауская область </t>
  </si>
  <si>
    <t xml:space="preserve">Kazakhstan/Алматы/Алматинская область </t>
  </si>
  <si>
    <t>Kazakhstan/Караганда/Карагандинская область</t>
  </si>
  <si>
    <t>Kazakhstan/Капчагай/Алматинская область</t>
  </si>
  <si>
    <t xml:space="preserve">Kazakhstan/Караганда/Карагандинская область </t>
  </si>
  <si>
    <t xml:space="preserve">Kazakhstan/Экибастуз/Павлодарская область </t>
  </si>
  <si>
    <t xml:space="preserve">Kazakhstan/Астана </t>
  </si>
  <si>
    <t xml:space="preserve">Best lifters </t>
  </si>
  <si>
    <t xml:space="preserve">Men </t>
  </si>
  <si>
    <t>Latvia</t>
  </si>
  <si>
    <t xml:space="preserve">Latvia/Рига </t>
  </si>
  <si>
    <t>Israel</t>
  </si>
  <si>
    <t>Tajikistan</t>
  </si>
  <si>
    <t>Tajikistan/Пенджикент/Согдийская область</t>
  </si>
  <si>
    <t>Russia</t>
  </si>
  <si>
    <t xml:space="preserve">Women </t>
  </si>
  <si>
    <t xml:space="preserve">India/Ahmedabad </t>
  </si>
  <si>
    <t>Hungary</t>
  </si>
  <si>
    <t>Colombia</t>
  </si>
  <si>
    <t xml:space="preserve">Moldova </t>
  </si>
  <si>
    <t xml:space="preserve">Moldova/Кишинев </t>
  </si>
  <si>
    <t>Armenia</t>
  </si>
  <si>
    <t>Armenia/Ереван</t>
  </si>
  <si>
    <t xml:space="preserve">Uzbekistan/Ташкент </t>
  </si>
  <si>
    <t xml:space="preserve">Uzbekistan </t>
  </si>
  <si>
    <t>Finland</t>
  </si>
  <si>
    <t>Kyrgyzstan</t>
  </si>
  <si>
    <t xml:space="preserve">Kyrgyzstan/Бишкек </t>
  </si>
  <si>
    <t xml:space="preserve">Kyrgyzstan/Каракол/Иссык-куль </t>
  </si>
  <si>
    <t xml:space="preserve">Weight Class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</si>
</sst>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000"/>
    <numFmt numFmtId="182" formatCode="0.0000"/>
    <numFmt numFmtId="183" formatCode="000000"/>
    <numFmt numFmtId="184" formatCode="0.000"/>
  </numFmts>
  <fonts count="47">
    <font>
      <sz val="10"/>
      <name val="Arial Cyr"/>
      <family val="0"/>
    </font>
    <font>
      <sz val="2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0"/>
      <color theme="5"/>
      <name val="Arial Cyr"/>
      <family val="0"/>
    </font>
    <font>
      <b/>
      <strike/>
      <sz val="10"/>
      <color rgb="FFC0504D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4B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45" fillId="0" borderId="21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45" fillId="0" borderId="22" xfId="0" applyNumberFormat="1" applyFont="1" applyFill="1" applyBorder="1" applyAlignment="1">
      <alignment horizontal="center" vertical="center"/>
    </xf>
    <xf numFmtId="49" fontId="45" fillId="0" borderId="2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1" fontId="2" fillId="10" borderId="12" xfId="0" applyNumberFormat="1" applyFont="1" applyFill="1" applyBorder="1" applyAlignment="1">
      <alignment horizontal="center" vertical="center"/>
    </xf>
    <xf numFmtId="49" fontId="2" fillId="10" borderId="13" xfId="0" applyNumberFormat="1" applyFont="1" applyFill="1" applyBorder="1" applyAlignment="1">
      <alignment horizontal="center" vertical="center"/>
    </xf>
    <xf numFmtId="1" fontId="2" fillId="10" borderId="13" xfId="0" applyNumberFormat="1" applyFont="1" applyFill="1" applyBorder="1" applyAlignment="1">
      <alignment horizontal="center" vertical="center"/>
    </xf>
    <xf numFmtId="49" fontId="2" fillId="10" borderId="11" xfId="0" applyNumberFormat="1" applyFont="1" applyFill="1" applyBorder="1" applyAlignment="1">
      <alignment horizontal="center" vertical="center"/>
    </xf>
    <xf numFmtId="1" fontId="2" fillId="1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2" fillId="35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49" fontId="46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2" fillId="35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46" fillId="0" borderId="23" xfId="0" applyNumberFormat="1" applyFont="1" applyBorder="1" applyAlignment="1">
      <alignment horizontal="center" vertical="center"/>
    </xf>
    <xf numFmtId="49" fontId="2" fillId="35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zoomScalePageLayoutView="0" workbookViewId="0" topLeftCell="A73">
      <selection activeCell="G78" sqref="G78"/>
    </sheetView>
  </sheetViews>
  <sheetFormatPr defaultColWidth="11.00390625" defaultRowHeight="12.75"/>
  <cols>
    <col min="1" max="1" width="7.375" style="7" bestFit="1" customWidth="1"/>
    <col min="2" max="2" width="28.75390625" style="7" bestFit="1" customWidth="1"/>
    <col min="3" max="3" width="30.625" style="6" bestFit="1" customWidth="1"/>
    <col min="4" max="4" width="17.75390625" style="6" customWidth="1"/>
    <col min="5" max="5" width="10.625" style="6" bestFit="1" customWidth="1"/>
    <col min="6" max="6" width="22.75390625" style="6" bestFit="1" customWidth="1"/>
    <col min="7" max="7" width="41.875" style="6" bestFit="1" customWidth="1"/>
    <col min="8" max="10" width="5.625" style="7" bestFit="1" customWidth="1"/>
    <col min="11" max="11" width="4.625" style="7" customWidth="1"/>
    <col min="12" max="14" width="5.625" style="7" bestFit="1" customWidth="1"/>
    <col min="15" max="15" width="4.875" style="7" bestFit="1" customWidth="1"/>
    <col min="16" max="18" width="5.625" style="7" bestFit="1" customWidth="1"/>
    <col min="19" max="19" width="4.875" style="7" bestFit="1" customWidth="1"/>
    <col min="20" max="20" width="7.875" style="7" bestFit="1" customWidth="1"/>
    <col min="21" max="21" width="8.625" style="7" bestFit="1" customWidth="1"/>
    <col min="22" max="22" width="30.125" style="6" bestFit="1" customWidth="1"/>
    <col min="23" max="16384" width="9.125" style="1" customWidth="1"/>
  </cols>
  <sheetData>
    <row r="1" spans="1:22" ht="28.5" customHeight="1">
      <c r="A1" s="114" t="s">
        <v>1565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</row>
    <row r="2" spans="1:22" ht="61.5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2" s="2" customFormat="1" ht="12.75" customHeight="1">
      <c r="A3" s="121" t="s">
        <v>1132</v>
      </c>
      <c r="B3" s="126" t="s">
        <v>1133</v>
      </c>
      <c r="C3" s="123" t="s">
        <v>1136</v>
      </c>
      <c r="D3" s="123" t="s">
        <v>1137</v>
      </c>
      <c r="E3" s="112" t="s">
        <v>0</v>
      </c>
      <c r="F3" s="112" t="s">
        <v>1139</v>
      </c>
      <c r="G3" s="112" t="s">
        <v>1140</v>
      </c>
      <c r="H3" s="112" t="s">
        <v>1141</v>
      </c>
      <c r="I3" s="112"/>
      <c r="J3" s="112"/>
      <c r="K3" s="112"/>
      <c r="L3" s="112" t="s">
        <v>1142</v>
      </c>
      <c r="M3" s="112"/>
      <c r="N3" s="112"/>
      <c r="O3" s="112"/>
      <c r="P3" s="112" t="s">
        <v>1143</v>
      </c>
      <c r="Q3" s="112"/>
      <c r="R3" s="112"/>
      <c r="S3" s="112"/>
      <c r="T3" s="112" t="s">
        <v>1144</v>
      </c>
      <c r="U3" s="112" t="s">
        <v>1146</v>
      </c>
      <c r="V3" s="110" t="s">
        <v>1147</v>
      </c>
    </row>
    <row r="4" spans="1:22" s="2" customFormat="1" ht="21" customHeight="1" thickBot="1">
      <c r="A4" s="122"/>
      <c r="B4" s="127"/>
      <c r="C4" s="113"/>
      <c r="D4" s="113"/>
      <c r="E4" s="113"/>
      <c r="F4" s="113"/>
      <c r="G4" s="113"/>
      <c r="H4" s="3">
        <v>1</v>
      </c>
      <c r="I4" s="3">
        <v>2</v>
      </c>
      <c r="J4" s="3">
        <v>3</v>
      </c>
      <c r="K4" s="3" t="s">
        <v>1518</v>
      </c>
      <c r="L4" s="3">
        <v>1</v>
      </c>
      <c r="M4" s="3">
        <v>2</v>
      </c>
      <c r="N4" s="3">
        <v>3</v>
      </c>
      <c r="O4" s="3" t="s">
        <v>1518</v>
      </c>
      <c r="P4" s="3">
        <v>1</v>
      </c>
      <c r="Q4" s="3">
        <v>2</v>
      </c>
      <c r="R4" s="3">
        <v>3</v>
      </c>
      <c r="S4" s="3" t="s">
        <v>1518</v>
      </c>
      <c r="T4" s="113"/>
      <c r="U4" s="113"/>
      <c r="V4" s="111"/>
    </row>
    <row r="5" spans="1:21" ht="15">
      <c r="A5" s="125" t="s">
        <v>1148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2" ht="12.75">
      <c r="A6" s="8" t="s">
        <v>219</v>
      </c>
      <c r="B6" s="8" t="s">
        <v>712</v>
      </c>
      <c r="C6" s="9" t="s">
        <v>1163</v>
      </c>
      <c r="D6" s="9" t="s">
        <v>237</v>
      </c>
      <c r="E6" s="9" t="str">
        <f>"1,3657"</f>
        <v>1,3657</v>
      </c>
      <c r="F6" s="9" t="s">
        <v>1522</v>
      </c>
      <c r="G6" s="9" t="s">
        <v>1566</v>
      </c>
      <c r="H6" s="11" t="s">
        <v>8</v>
      </c>
      <c r="I6" s="11" t="s">
        <v>8</v>
      </c>
      <c r="J6" s="11" t="s">
        <v>8</v>
      </c>
      <c r="K6" s="8"/>
      <c r="L6" s="11"/>
      <c r="M6" s="8"/>
      <c r="N6" s="8"/>
      <c r="O6" s="8"/>
      <c r="P6" s="11"/>
      <c r="Q6" s="8"/>
      <c r="R6" s="8"/>
      <c r="S6" s="8"/>
      <c r="T6" s="8" t="str">
        <f>"0,0"</f>
        <v>0,0</v>
      </c>
      <c r="U6" s="8" t="str">
        <f>"0,0000"</f>
        <v>0,0000</v>
      </c>
      <c r="V6" s="9" t="s">
        <v>41</v>
      </c>
    </row>
    <row r="7" ht="12.75">
      <c r="B7" s="7" t="s">
        <v>218</v>
      </c>
    </row>
    <row r="8" spans="1:21" ht="15">
      <c r="A8" s="124" t="s">
        <v>1149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spans="1:22" ht="12.75">
      <c r="A9" s="13" t="s">
        <v>217</v>
      </c>
      <c r="B9" s="13" t="s">
        <v>713</v>
      </c>
      <c r="C9" s="14" t="s">
        <v>1365</v>
      </c>
      <c r="D9" s="14" t="s">
        <v>714</v>
      </c>
      <c r="E9" s="14" t="str">
        <f>"1,2485"</f>
        <v>1,2485</v>
      </c>
      <c r="F9" s="14" t="s">
        <v>862</v>
      </c>
      <c r="G9" s="14" t="s">
        <v>1567</v>
      </c>
      <c r="H9" s="16" t="s">
        <v>7</v>
      </c>
      <c r="I9" s="16" t="s">
        <v>47</v>
      </c>
      <c r="J9" s="16" t="s">
        <v>71</v>
      </c>
      <c r="K9" s="13"/>
      <c r="L9" s="16" t="s">
        <v>230</v>
      </c>
      <c r="M9" s="16" t="s">
        <v>254</v>
      </c>
      <c r="N9" s="15" t="s">
        <v>33</v>
      </c>
      <c r="O9" s="13"/>
      <c r="P9" s="16" t="s">
        <v>7</v>
      </c>
      <c r="Q9" s="16" t="s">
        <v>71</v>
      </c>
      <c r="R9" s="15" t="s">
        <v>12</v>
      </c>
      <c r="S9" s="13"/>
      <c r="T9" s="13" t="str">
        <f>"247,5"</f>
        <v>247,5</v>
      </c>
      <c r="U9" s="13" t="str">
        <f>"309,0037"</f>
        <v>309,0037</v>
      </c>
      <c r="V9" s="14" t="s">
        <v>851</v>
      </c>
    </row>
    <row r="10" spans="1:22" ht="12.75">
      <c r="A10" s="17" t="s">
        <v>219</v>
      </c>
      <c r="B10" s="17" t="s">
        <v>715</v>
      </c>
      <c r="C10" s="18" t="s">
        <v>1164</v>
      </c>
      <c r="D10" s="18" t="s">
        <v>716</v>
      </c>
      <c r="E10" s="18" t="str">
        <f>"1,2654"</f>
        <v>1,2654</v>
      </c>
      <c r="F10" s="18" t="s">
        <v>1522</v>
      </c>
      <c r="G10" s="18" t="s">
        <v>1567</v>
      </c>
      <c r="H10" s="23" t="s">
        <v>20</v>
      </c>
      <c r="I10" s="24" t="s">
        <v>39</v>
      </c>
      <c r="J10" s="24" t="s">
        <v>39</v>
      </c>
      <c r="K10" s="17"/>
      <c r="L10" s="23" t="s">
        <v>254</v>
      </c>
      <c r="M10" s="24" t="s">
        <v>33</v>
      </c>
      <c r="N10" s="24" t="s">
        <v>33</v>
      </c>
      <c r="O10" s="17"/>
      <c r="P10" s="24" t="s">
        <v>21</v>
      </c>
      <c r="Q10" s="24" t="s">
        <v>21</v>
      </c>
      <c r="R10" s="24" t="s">
        <v>21</v>
      </c>
      <c r="S10" s="17"/>
      <c r="T10" s="17" t="str">
        <f>"0,0"</f>
        <v>0,0</v>
      </c>
      <c r="U10" s="17" t="str">
        <f>"0,0000"</f>
        <v>0,0000</v>
      </c>
      <c r="V10" s="18" t="s">
        <v>852</v>
      </c>
    </row>
    <row r="11" ht="12.75">
      <c r="B11" s="7" t="s">
        <v>218</v>
      </c>
    </row>
    <row r="12" spans="1:21" ht="15">
      <c r="A12" s="124" t="s">
        <v>1150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</row>
    <row r="13" spans="1:22" ht="12.75">
      <c r="A13" s="13" t="s">
        <v>219</v>
      </c>
      <c r="B13" s="13" t="s">
        <v>717</v>
      </c>
      <c r="C13" s="14" t="s">
        <v>1371</v>
      </c>
      <c r="D13" s="14" t="s">
        <v>256</v>
      </c>
      <c r="E13" s="14" t="str">
        <f>"1,1916"</f>
        <v>1,1916</v>
      </c>
      <c r="F13" s="14" t="s">
        <v>1522</v>
      </c>
      <c r="G13" s="14" t="s">
        <v>1568</v>
      </c>
      <c r="H13" s="15" t="s">
        <v>21</v>
      </c>
      <c r="I13" s="15" t="s">
        <v>21</v>
      </c>
      <c r="J13" s="15" t="s">
        <v>21</v>
      </c>
      <c r="K13" s="13"/>
      <c r="L13" s="15"/>
      <c r="M13" s="13"/>
      <c r="N13" s="13"/>
      <c r="O13" s="13"/>
      <c r="P13" s="15"/>
      <c r="Q13" s="13"/>
      <c r="R13" s="13"/>
      <c r="S13" s="13"/>
      <c r="T13" s="13" t="str">
        <f>"0,0"</f>
        <v>0,0</v>
      </c>
      <c r="U13" s="13" t="str">
        <f>"0,0000"</f>
        <v>0,0000</v>
      </c>
      <c r="V13" s="14" t="s">
        <v>853</v>
      </c>
    </row>
    <row r="14" spans="1:22" ht="12.75">
      <c r="A14" s="19" t="s">
        <v>217</v>
      </c>
      <c r="B14" s="19" t="s">
        <v>718</v>
      </c>
      <c r="C14" s="20" t="s">
        <v>1165</v>
      </c>
      <c r="D14" s="20" t="s">
        <v>487</v>
      </c>
      <c r="E14" s="20" t="str">
        <f>"1,2036"</f>
        <v>1,2036</v>
      </c>
      <c r="F14" s="20" t="s">
        <v>1522</v>
      </c>
      <c r="G14" s="20" t="s">
        <v>1569</v>
      </c>
      <c r="H14" s="21" t="s">
        <v>4</v>
      </c>
      <c r="I14" s="21" t="s">
        <v>7</v>
      </c>
      <c r="J14" s="21" t="s">
        <v>8</v>
      </c>
      <c r="K14" s="19"/>
      <c r="L14" s="21" t="s">
        <v>234</v>
      </c>
      <c r="M14" s="22" t="s">
        <v>53</v>
      </c>
      <c r="N14" s="22" t="s">
        <v>53</v>
      </c>
      <c r="O14" s="19"/>
      <c r="P14" s="21" t="s">
        <v>21</v>
      </c>
      <c r="Q14" s="21" t="s">
        <v>39</v>
      </c>
      <c r="R14" s="21" t="s">
        <v>12</v>
      </c>
      <c r="S14" s="19"/>
      <c r="T14" s="19" t="str">
        <f>"257,5"</f>
        <v>257,5</v>
      </c>
      <c r="U14" s="19" t="str">
        <f>"309,9270"</f>
        <v>309,9270</v>
      </c>
      <c r="V14" s="20" t="s">
        <v>855</v>
      </c>
    </row>
    <row r="15" spans="1:22" ht="12.75">
      <c r="A15" s="19" t="s">
        <v>220</v>
      </c>
      <c r="B15" s="19" t="s">
        <v>719</v>
      </c>
      <c r="C15" s="20" t="s">
        <v>1166</v>
      </c>
      <c r="D15" s="20" t="s">
        <v>720</v>
      </c>
      <c r="E15" s="20" t="str">
        <f>"1,2176"</f>
        <v>1,2176</v>
      </c>
      <c r="F15" s="20" t="s">
        <v>1522</v>
      </c>
      <c r="G15" s="20" t="s">
        <v>1567</v>
      </c>
      <c r="H15" s="21" t="s">
        <v>7</v>
      </c>
      <c r="I15" s="21" t="s">
        <v>8</v>
      </c>
      <c r="J15" s="21" t="s">
        <v>20</v>
      </c>
      <c r="K15" s="19"/>
      <c r="L15" s="21" t="s">
        <v>32</v>
      </c>
      <c r="M15" s="22" t="s">
        <v>33</v>
      </c>
      <c r="N15" s="22" t="s">
        <v>33</v>
      </c>
      <c r="O15" s="19"/>
      <c r="P15" s="21" t="s">
        <v>8</v>
      </c>
      <c r="Q15" s="21" t="s">
        <v>21</v>
      </c>
      <c r="R15" s="21" t="s">
        <v>40</v>
      </c>
      <c r="S15" s="19"/>
      <c r="T15" s="19" t="str">
        <f>"252,5"</f>
        <v>252,5</v>
      </c>
      <c r="U15" s="19" t="str">
        <f>"307,4440"</f>
        <v>307,4440</v>
      </c>
      <c r="V15" s="20" t="s">
        <v>41</v>
      </c>
    </row>
    <row r="16" spans="1:22" ht="12.75">
      <c r="A16" s="19" t="s">
        <v>219</v>
      </c>
      <c r="B16" s="19" t="s">
        <v>486</v>
      </c>
      <c r="C16" s="20" t="s">
        <v>1167</v>
      </c>
      <c r="D16" s="20" t="s">
        <v>487</v>
      </c>
      <c r="E16" s="20" t="str">
        <f>"1,2036"</f>
        <v>1,2036</v>
      </c>
      <c r="F16" s="20" t="s">
        <v>1522</v>
      </c>
      <c r="G16" s="20" t="s">
        <v>1567</v>
      </c>
      <c r="H16" s="21" t="s">
        <v>8</v>
      </c>
      <c r="I16" s="21" t="s">
        <v>20</v>
      </c>
      <c r="J16" s="22" t="s">
        <v>21</v>
      </c>
      <c r="K16" s="19"/>
      <c r="L16" s="22" t="s">
        <v>33</v>
      </c>
      <c r="M16" s="22" t="s">
        <v>33</v>
      </c>
      <c r="N16" s="22" t="s">
        <v>33</v>
      </c>
      <c r="O16" s="19"/>
      <c r="P16" s="22" t="s">
        <v>231</v>
      </c>
      <c r="Q16" s="19"/>
      <c r="R16" s="19"/>
      <c r="S16" s="19"/>
      <c r="T16" s="19" t="str">
        <f>"0,0"</f>
        <v>0,0</v>
      </c>
      <c r="U16" s="19" t="str">
        <f>"0,0000"</f>
        <v>0,0000</v>
      </c>
      <c r="V16" s="20" t="s">
        <v>854</v>
      </c>
    </row>
    <row r="17" spans="1:22" ht="12.75">
      <c r="A17" s="17" t="s">
        <v>217</v>
      </c>
      <c r="B17" s="17" t="s">
        <v>488</v>
      </c>
      <c r="C17" s="18" t="s">
        <v>1383</v>
      </c>
      <c r="D17" s="18" t="s">
        <v>489</v>
      </c>
      <c r="E17" s="18" t="str">
        <f>"1,1900"</f>
        <v>1,1900</v>
      </c>
      <c r="F17" s="18" t="s">
        <v>1522</v>
      </c>
      <c r="G17" s="18" t="s">
        <v>1570</v>
      </c>
      <c r="H17" s="23" t="s">
        <v>58</v>
      </c>
      <c r="I17" s="24" t="s">
        <v>7</v>
      </c>
      <c r="J17" s="24" t="s">
        <v>7</v>
      </c>
      <c r="K17" s="17"/>
      <c r="L17" s="24" t="s">
        <v>32</v>
      </c>
      <c r="M17" s="23" t="s">
        <v>32</v>
      </c>
      <c r="N17" s="23" t="s">
        <v>33</v>
      </c>
      <c r="O17" s="17"/>
      <c r="P17" s="23" t="s">
        <v>8</v>
      </c>
      <c r="Q17" s="23" t="s">
        <v>21</v>
      </c>
      <c r="R17" s="24" t="s">
        <v>39</v>
      </c>
      <c r="S17" s="17"/>
      <c r="T17" s="17" t="str">
        <f>"230,0"</f>
        <v>230,0</v>
      </c>
      <c r="U17" s="17" t="str">
        <f>"285,7428"</f>
        <v>285,7428</v>
      </c>
      <c r="V17" s="18" t="s">
        <v>490</v>
      </c>
    </row>
    <row r="18" ht="12.75">
      <c r="B18" s="7" t="s">
        <v>218</v>
      </c>
    </row>
    <row r="19" spans="1:21" ht="15">
      <c r="A19" s="124" t="s">
        <v>1151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</row>
    <row r="20" spans="1:22" ht="12.75">
      <c r="A20" s="13" t="s">
        <v>217</v>
      </c>
      <c r="B20" s="13" t="s">
        <v>609</v>
      </c>
      <c r="C20" s="14" t="s">
        <v>1168</v>
      </c>
      <c r="D20" s="14" t="s">
        <v>578</v>
      </c>
      <c r="E20" s="14" t="str">
        <f>"1,1266"</f>
        <v>1,1266</v>
      </c>
      <c r="F20" s="14" t="s">
        <v>1522</v>
      </c>
      <c r="G20" s="14" t="s">
        <v>1571</v>
      </c>
      <c r="H20" s="15" t="s">
        <v>4</v>
      </c>
      <c r="I20" s="15" t="s">
        <v>4</v>
      </c>
      <c r="J20" s="16" t="s">
        <v>7</v>
      </c>
      <c r="K20" s="13"/>
      <c r="L20" s="16" t="s">
        <v>254</v>
      </c>
      <c r="M20" s="16" t="s">
        <v>33</v>
      </c>
      <c r="N20" s="16" t="s">
        <v>234</v>
      </c>
      <c r="O20" s="13"/>
      <c r="P20" s="10" t="s">
        <v>12</v>
      </c>
      <c r="Q20" s="11" t="s">
        <v>34</v>
      </c>
      <c r="R20" s="11" t="s">
        <v>34</v>
      </c>
      <c r="S20" s="13"/>
      <c r="T20" s="13" t="str">
        <f>"252,5"</f>
        <v>252,5</v>
      </c>
      <c r="U20" s="13" t="str">
        <f>"284,4665"</f>
        <v>284,4665</v>
      </c>
      <c r="V20" s="14" t="s">
        <v>41</v>
      </c>
    </row>
    <row r="21" spans="1:22" ht="12.75">
      <c r="A21" s="17" t="s">
        <v>217</v>
      </c>
      <c r="B21" s="17" t="s">
        <v>609</v>
      </c>
      <c r="C21" s="18" t="s">
        <v>1384</v>
      </c>
      <c r="D21" s="18" t="s">
        <v>578</v>
      </c>
      <c r="E21" s="18" t="str">
        <f>"1,1266"</f>
        <v>1,1266</v>
      </c>
      <c r="F21" s="18" t="s">
        <v>1522</v>
      </c>
      <c r="G21" s="18" t="s">
        <v>1571</v>
      </c>
      <c r="H21" s="24" t="s">
        <v>4</v>
      </c>
      <c r="I21" s="24" t="s">
        <v>4</v>
      </c>
      <c r="J21" s="23" t="s">
        <v>7</v>
      </c>
      <c r="K21" s="17"/>
      <c r="L21" s="23" t="s">
        <v>254</v>
      </c>
      <c r="M21" s="23" t="s">
        <v>33</v>
      </c>
      <c r="N21" s="23" t="s">
        <v>234</v>
      </c>
      <c r="O21" s="17"/>
      <c r="P21" s="10" t="s">
        <v>12</v>
      </c>
      <c r="Q21" s="11" t="s">
        <v>34</v>
      </c>
      <c r="R21" s="11" t="s">
        <v>34</v>
      </c>
      <c r="S21" s="17"/>
      <c r="T21" s="17" t="str">
        <f>"252,5"</f>
        <v>252,5</v>
      </c>
      <c r="U21" s="17" t="str">
        <f>"285,8888"</f>
        <v>285,8888</v>
      </c>
      <c r="V21" s="18" t="s">
        <v>41</v>
      </c>
    </row>
    <row r="22" ht="12.75">
      <c r="B22" s="7" t="s">
        <v>218</v>
      </c>
    </row>
    <row r="23" spans="1:21" ht="15">
      <c r="A23" s="124" t="s">
        <v>1152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</row>
    <row r="24" spans="1:22" ht="12.75">
      <c r="A24" s="13" t="s">
        <v>217</v>
      </c>
      <c r="B24" s="13" t="s">
        <v>721</v>
      </c>
      <c r="C24" s="14" t="s">
        <v>1366</v>
      </c>
      <c r="D24" s="14" t="s">
        <v>88</v>
      </c>
      <c r="E24" s="14" t="str">
        <f>"1,0317"</f>
        <v>1,0317</v>
      </c>
      <c r="F24" s="14" t="s">
        <v>1532</v>
      </c>
      <c r="G24" s="14" t="s">
        <v>1562</v>
      </c>
      <c r="H24" s="15" t="s">
        <v>20</v>
      </c>
      <c r="I24" s="16" t="s">
        <v>20</v>
      </c>
      <c r="J24" s="16" t="s">
        <v>278</v>
      </c>
      <c r="K24" s="13"/>
      <c r="L24" s="16" t="s">
        <v>238</v>
      </c>
      <c r="M24" s="15" t="s">
        <v>230</v>
      </c>
      <c r="N24" s="15" t="s">
        <v>230</v>
      </c>
      <c r="O24" s="13"/>
      <c r="P24" s="16" t="s">
        <v>231</v>
      </c>
      <c r="Q24" s="16" t="s">
        <v>44</v>
      </c>
      <c r="R24" s="16" t="s">
        <v>45</v>
      </c>
      <c r="S24" s="13"/>
      <c r="T24" s="13" t="str">
        <f>"280,0"</f>
        <v>280,0</v>
      </c>
      <c r="U24" s="13" t="str">
        <f>"288,8760"</f>
        <v>288,8760</v>
      </c>
      <c r="V24" s="14" t="s">
        <v>92</v>
      </c>
    </row>
    <row r="25" spans="1:22" ht="12.75">
      <c r="A25" s="17" t="s">
        <v>217</v>
      </c>
      <c r="B25" s="17" t="s">
        <v>721</v>
      </c>
      <c r="C25" s="18" t="s">
        <v>1169</v>
      </c>
      <c r="D25" s="18" t="s">
        <v>88</v>
      </c>
      <c r="E25" s="18" t="str">
        <f>"1,0317"</f>
        <v>1,0317</v>
      </c>
      <c r="F25" s="18" t="s">
        <v>1532</v>
      </c>
      <c r="G25" s="18" t="s">
        <v>1562</v>
      </c>
      <c r="H25" s="24" t="s">
        <v>20</v>
      </c>
      <c r="I25" s="23" t="s">
        <v>20</v>
      </c>
      <c r="J25" s="23" t="s">
        <v>278</v>
      </c>
      <c r="K25" s="17"/>
      <c r="L25" s="23" t="s">
        <v>238</v>
      </c>
      <c r="M25" s="24" t="s">
        <v>230</v>
      </c>
      <c r="N25" s="24" t="s">
        <v>230</v>
      </c>
      <c r="O25" s="17"/>
      <c r="P25" s="23" t="s">
        <v>231</v>
      </c>
      <c r="Q25" s="23" t="s">
        <v>44</v>
      </c>
      <c r="R25" s="23" t="s">
        <v>45</v>
      </c>
      <c r="S25" s="17"/>
      <c r="T25" s="17" t="str">
        <f>"280,0"</f>
        <v>280,0</v>
      </c>
      <c r="U25" s="17" t="str">
        <f>"288,8760"</f>
        <v>288,8760</v>
      </c>
      <c r="V25" s="18" t="s">
        <v>92</v>
      </c>
    </row>
    <row r="26" ht="12.75">
      <c r="B26" s="7" t="s">
        <v>218</v>
      </c>
    </row>
    <row r="27" spans="1:21" ht="15">
      <c r="A27" s="124" t="s">
        <v>1153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</row>
    <row r="28" spans="1:22" ht="12.75">
      <c r="A28" s="13" t="s">
        <v>217</v>
      </c>
      <c r="B28" s="13" t="s">
        <v>722</v>
      </c>
      <c r="C28" s="14" t="s">
        <v>1170</v>
      </c>
      <c r="D28" s="14" t="s">
        <v>723</v>
      </c>
      <c r="E28" s="14" t="str">
        <f>"1,0028"</f>
        <v>1,0028</v>
      </c>
      <c r="F28" s="14" t="s">
        <v>1522</v>
      </c>
      <c r="G28" s="14" t="s">
        <v>1572</v>
      </c>
      <c r="H28" s="16" t="s">
        <v>3</v>
      </c>
      <c r="I28" s="16" t="s">
        <v>4</v>
      </c>
      <c r="J28" s="15" t="s">
        <v>8</v>
      </c>
      <c r="K28" s="13"/>
      <c r="L28" s="15" t="s">
        <v>31</v>
      </c>
      <c r="M28" s="15" t="s">
        <v>230</v>
      </c>
      <c r="N28" s="16" t="s">
        <v>230</v>
      </c>
      <c r="O28" s="13"/>
      <c r="P28" s="16" t="s">
        <v>8</v>
      </c>
      <c r="Q28" s="15" t="s">
        <v>21</v>
      </c>
      <c r="R28" s="16" t="s">
        <v>21</v>
      </c>
      <c r="S28" s="13"/>
      <c r="T28" s="13" t="str">
        <f>"227,5"</f>
        <v>227,5</v>
      </c>
      <c r="U28" s="13" t="str">
        <f>"228,1370"</f>
        <v>228,1370</v>
      </c>
      <c r="V28" s="14" t="s">
        <v>111</v>
      </c>
    </row>
    <row r="29" spans="1:22" ht="12.75">
      <c r="A29" s="17" t="s">
        <v>219</v>
      </c>
      <c r="B29" s="17" t="s">
        <v>494</v>
      </c>
      <c r="C29" s="18" t="s">
        <v>1171</v>
      </c>
      <c r="D29" s="18" t="s">
        <v>495</v>
      </c>
      <c r="E29" s="18" t="str">
        <f>"0,9900"</f>
        <v>0,9900</v>
      </c>
      <c r="F29" s="18" t="s">
        <v>724</v>
      </c>
      <c r="G29" s="18" t="s">
        <v>1573</v>
      </c>
      <c r="H29" s="24" t="s">
        <v>21</v>
      </c>
      <c r="I29" s="23" t="s">
        <v>21</v>
      </c>
      <c r="J29" s="23" t="s">
        <v>12</v>
      </c>
      <c r="K29" s="17"/>
      <c r="L29" s="24" t="s">
        <v>485</v>
      </c>
      <c r="M29" s="23" t="s">
        <v>4</v>
      </c>
      <c r="N29" s="23" t="s">
        <v>7</v>
      </c>
      <c r="O29" s="17"/>
      <c r="P29" s="11" t="s">
        <v>35</v>
      </c>
      <c r="Q29" s="11" t="s">
        <v>29</v>
      </c>
      <c r="R29" s="11" t="s">
        <v>30</v>
      </c>
      <c r="S29" s="17"/>
      <c r="T29" s="17" t="str">
        <f>"0,0"</f>
        <v>0,0</v>
      </c>
      <c r="U29" s="17" t="str">
        <f>"0,0000"</f>
        <v>0,0000</v>
      </c>
      <c r="V29" s="18" t="s">
        <v>496</v>
      </c>
    </row>
    <row r="30" ht="12.75">
      <c r="B30" s="7" t="s">
        <v>218</v>
      </c>
    </row>
    <row r="31" spans="1:21" ht="15">
      <c r="A31" s="124" t="s">
        <v>1154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2" ht="12.75">
      <c r="A32" s="8" t="s">
        <v>219</v>
      </c>
      <c r="B32" s="8" t="s">
        <v>725</v>
      </c>
      <c r="C32" s="9" t="s">
        <v>1385</v>
      </c>
      <c r="D32" s="9" t="s">
        <v>134</v>
      </c>
      <c r="E32" s="9" t="str">
        <f>"0,9064"</f>
        <v>0,9064</v>
      </c>
      <c r="F32" s="9" t="s">
        <v>1522</v>
      </c>
      <c r="G32" s="9" t="s">
        <v>1574</v>
      </c>
      <c r="H32" s="10" t="s">
        <v>39</v>
      </c>
      <c r="I32" s="10" t="s">
        <v>249</v>
      </c>
      <c r="J32" s="10" t="s">
        <v>250</v>
      </c>
      <c r="K32" s="8"/>
      <c r="L32" s="10" t="s">
        <v>230</v>
      </c>
      <c r="M32" s="11" t="s">
        <v>254</v>
      </c>
      <c r="N32" s="10" t="s">
        <v>254</v>
      </c>
      <c r="O32" s="8"/>
      <c r="P32" s="11" t="s">
        <v>28</v>
      </c>
      <c r="Q32" s="8"/>
      <c r="R32" s="8"/>
      <c r="S32" s="8"/>
      <c r="T32" s="8" t="str">
        <f>"0,0"</f>
        <v>0,0</v>
      </c>
      <c r="U32" s="8" t="str">
        <f>"0,0000"</f>
        <v>0,0000</v>
      </c>
      <c r="V32" s="9" t="s">
        <v>726</v>
      </c>
    </row>
    <row r="33" ht="12.75">
      <c r="B33" s="7" t="s">
        <v>218</v>
      </c>
    </row>
    <row r="34" spans="1:21" ht="15">
      <c r="A34" s="124" t="s">
        <v>1155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2" ht="12.75">
      <c r="A35" s="8" t="s">
        <v>217</v>
      </c>
      <c r="B35" s="8" t="s">
        <v>727</v>
      </c>
      <c r="C35" s="9" t="s">
        <v>1172</v>
      </c>
      <c r="D35" s="9" t="s">
        <v>728</v>
      </c>
      <c r="E35" s="9" t="str">
        <f>"0,8625"</f>
        <v>0,8625</v>
      </c>
      <c r="F35" s="9" t="s">
        <v>1522</v>
      </c>
      <c r="G35" s="9" t="s">
        <v>1572</v>
      </c>
      <c r="H35" s="11" t="s">
        <v>32</v>
      </c>
      <c r="I35" s="10" t="s">
        <v>32</v>
      </c>
      <c r="J35" s="10" t="s">
        <v>33</v>
      </c>
      <c r="K35" s="8"/>
      <c r="L35" s="10" t="s">
        <v>6</v>
      </c>
      <c r="M35" s="11" t="s">
        <v>31</v>
      </c>
      <c r="N35" s="11" t="s">
        <v>31</v>
      </c>
      <c r="O35" s="8"/>
      <c r="P35" s="10" t="s">
        <v>8</v>
      </c>
      <c r="Q35" s="10" t="s">
        <v>39</v>
      </c>
      <c r="R35" s="11" t="s">
        <v>12</v>
      </c>
      <c r="S35" s="8"/>
      <c r="T35" s="8" t="str">
        <f>"200,0"</f>
        <v>200,0</v>
      </c>
      <c r="U35" s="8" t="str">
        <f>"172,5000"</f>
        <v>172,5000</v>
      </c>
      <c r="V35" s="9" t="s">
        <v>111</v>
      </c>
    </row>
    <row r="36" ht="12.75">
      <c r="B36" s="7" t="s">
        <v>218</v>
      </c>
    </row>
    <row r="37" spans="1:21" ht="15">
      <c r="A37" s="124" t="s">
        <v>1151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2" ht="12.75">
      <c r="A38" s="8" t="s">
        <v>217</v>
      </c>
      <c r="B38" s="8" t="s">
        <v>1118</v>
      </c>
      <c r="C38" s="9" t="s">
        <v>1173</v>
      </c>
      <c r="D38" s="9" t="s">
        <v>578</v>
      </c>
      <c r="E38" s="9" t="s">
        <v>1119</v>
      </c>
      <c r="F38" s="9" t="s">
        <v>1522</v>
      </c>
      <c r="G38" s="9" t="s">
        <v>1567</v>
      </c>
      <c r="H38" s="10" t="s">
        <v>17</v>
      </c>
      <c r="I38" s="10" t="s">
        <v>18</v>
      </c>
      <c r="J38" s="10" t="s">
        <v>76</v>
      </c>
      <c r="K38" s="8"/>
      <c r="L38" s="10" t="s">
        <v>21</v>
      </c>
      <c r="M38" s="11" t="s">
        <v>12</v>
      </c>
      <c r="N38" s="10" t="s">
        <v>12</v>
      </c>
      <c r="O38" s="8"/>
      <c r="P38" s="10" t="s">
        <v>18</v>
      </c>
      <c r="Q38" s="10" t="s">
        <v>76</v>
      </c>
      <c r="R38" s="10" t="s">
        <v>64</v>
      </c>
      <c r="S38" s="8"/>
      <c r="T38" s="8" t="s">
        <v>1120</v>
      </c>
      <c r="U38" s="8" t="s">
        <v>1121</v>
      </c>
      <c r="V38" s="9" t="s">
        <v>41</v>
      </c>
    </row>
    <row r="39" spans="1:21" ht="15">
      <c r="A39" s="124" t="s">
        <v>1152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.75">
      <c r="A40" s="13" t="s">
        <v>217</v>
      </c>
      <c r="B40" s="13" t="s">
        <v>729</v>
      </c>
      <c r="C40" s="14" t="s">
        <v>1455</v>
      </c>
      <c r="D40" s="14" t="s">
        <v>576</v>
      </c>
      <c r="E40" s="14" t="str">
        <f>"0,7932"</f>
        <v>0,7932</v>
      </c>
      <c r="F40" s="14" t="s">
        <v>1522</v>
      </c>
      <c r="G40" s="14" t="s">
        <v>1575</v>
      </c>
      <c r="H40" s="16" t="s">
        <v>250</v>
      </c>
      <c r="I40" s="16" t="s">
        <v>280</v>
      </c>
      <c r="J40" s="16" t="s">
        <v>28</v>
      </c>
      <c r="K40" s="13"/>
      <c r="L40" s="16" t="s">
        <v>20</v>
      </c>
      <c r="M40" s="15" t="s">
        <v>21</v>
      </c>
      <c r="N40" s="16" t="s">
        <v>21</v>
      </c>
      <c r="O40" s="13"/>
      <c r="P40" s="16" t="s">
        <v>45</v>
      </c>
      <c r="Q40" s="16" t="s">
        <v>29</v>
      </c>
      <c r="R40" s="16" t="s">
        <v>30</v>
      </c>
      <c r="S40" s="13"/>
      <c r="T40" s="13" t="str">
        <f>"380,0"</f>
        <v>380,0</v>
      </c>
      <c r="U40" s="13" t="str">
        <f>"301,4160"</f>
        <v>301,4160</v>
      </c>
      <c r="V40" s="14" t="s">
        <v>856</v>
      </c>
    </row>
    <row r="41" spans="1:22" ht="12.75">
      <c r="A41" s="19" t="s">
        <v>217</v>
      </c>
      <c r="B41" s="19" t="s">
        <v>730</v>
      </c>
      <c r="C41" s="20" t="s">
        <v>1174</v>
      </c>
      <c r="D41" s="20" t="s">
        <v>86</v>
      </c>
      <c r="E41" s="20" t="str">
        <f>"0,7794"</f>
        <v>0,7794</v>
      </c>
      <c r="F41" s="20" t="s">
        <v>1522</v>
      </c>
      <c r="G41" s="20" t="s">
        <v>1576</v>
      </c>
      <c r="H41" s="22" t="s">
        <v>18</v>
      </c>
      <c r="I41" s="21" t="s">
        <v>76</v>
      </c>
      <c r="J41" s="21" t="s">
        <v>70</v>
      </c>
      <c r="K41" s="19"/>
      <c r="L41" s="21" t="s">
        <v>45</v>
      </c>
      <c r="M41" s="22" t="s">
        <v>35</v>
      </c>
      <c r="N41" s="22" t="s">
        <v>35</v>
      </c>
      <c r="O41" s="19"/>
      <c r="P41" s="21" t="s">
        <v>65</v>
      </c>
      <c r="Q41" s="22" t="s">
        <v>367</v>
      </c>
      <c r="R41" s="19"/>
      <c r="S41" s="19"/>
      <c r="T41" s="19" t="str">
        <f>"520,0"</f>
        <v>520,0</v>
      </c>
      <c r="U41" s="19" t="str">
        <f>"405,2880"</f>
        <v>405,2880</v>
      </c>
      <c r="V41" s="20" t="s">
        <v>731</v>
      </c>
    </row>
    <row r="42" spans="1:22" ht="12.75">
      <c r="A42" s="19" t="s">
        <v>217</v>
      </c>
      <c r="B42" s="19" t="s">
        <v>580</v>
      </c>
      <c r="C42" s="20" t="s">
        <v>1386</v>
      </c>
      <c r="D42" s="20" t="s">
        <v>309</v>
      </c>
      <c r="E42" s="20" t="str">
        <f>"0,7911"</f>
        <v>0,7911</v>
      </c>
      <c r="F42" s="20" t="s">
        <v>1522</v>
      </c>
      <c r="G42" s="20" t="s">
        <v>1577</v>
      </c>
      <c r="H42" s="21" t="s">
        <v>231</v>
      </c>
      <c r="I42" s="21" t="s">
        <v>44</v>
      </c>
      <c r="J42" s="21" t="s">
        <v>28</v>
      </c>
      <c r="K42" s="19"/>
      <c r="L42" s="21" t="s">
        <v>7</v>
      </c>
      <c r="M42" s="21" t="s">
        <v>47</v>
      </c>
      <c r="N42" s="22" t="s">
        <v>20</v>
      </c>
      <c r="O42" s="19"/>
      <c r="P42" s="21" t="s">
        <v>23</v>
      </c>
      <c r="Q42" s="21" t="s">
        <v>24</v>
      </c>
      <c r="R42" s="21" t="s">
        <v>337</v>
      </c>
      <c r="S42" s="19"/>
      <c r="T42" s="19" t="str">
        <f>"400,0"</f>
        <v>400,0</v>
      </c>
      <c r="U42" s="19" t="str">
        <f>"381,9431"</f>
        <v>381,9431</v>
      </c>
      <c r="V42" s="20" t="s">
        <v>581</v>
      </c>
    </row>
    <row r="43" spans="1:22" ht="12.75">
      <c r="A43" s="17" t="s">
        <v>217</v>
      </c>
      <c r="B43" s="17" t="s">
        <v>504</v>
      </c>
      <c r="C43" s="18" t="s">
        <v>1387</v>
      </c>
      <c r="D43" s="18" t="s">
        <v>306</v>
      </c>
      <c r="E43" s="18" t="str">
        <f>"0,8014"</f>
        <v>0,8014</v>
      </c>
      <c r="F43" s="18" t="s">
        <v>1533</v>
      </c>
      <c r="G43" s="18" t="s">
        <v>1563</v>
      </c>
      <c r="H43" s="24" t="s">
        <v>229</v>
      </c>
      <c r="I43" s="23" t="s">
        <v>229</v>
      </c>
      <c r="J43" s="23" t="s">
        <v>58</v>
      </c>
      <c r="K43" s="17"/>
      <c r="L43" s="23" t="s">
        <v>58</v>
      </c>
      <c r="M43" s="23" t="s">
        <v>4</v>
      </c>
      <c r="N43" s="24" t="s">
        <v>7</v>
      </c>
      <c r="O43" s="17"/>
      <c r="P43" s="23" t="s">
        <v>4</v>
      </c>
      <c r="Q43" s="23" t="s">
        <v>8</v>
      </c>
      <c r="R43" s="23" t="s">
        <v>21</v>
      </c>
      <c r="S43" s="17"/>
      <c r="T43" s="17" t="str">
        <f>"255,0"</f>
        <v>255,0</v>
      </c>
      <c r="U43" s="17" t="str">
        <f>"326,3581"</f>
        <v>326,3581</v>
      </c>
      <c r="V43" s="18" t="s">
        <v>505</v>
      </c>
    </row>
    <row r="44" ht="12.75">
      <c r="B44" s="7" t="s">
        <v>218</v>
      </c>
    </row>
    <row r="45" spans="1:21" ht="15">
      <c r="A45" s="124" t="s">
        <v>1153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2" ht="12.75">
      <c r="A46" s="13" t="s">
        <v>217</v>
      </c>
      <c r="B46" s="13" t="s">
        <v>732</v>
      </c>
      <c r="C46" s="14" t="s">
        <v>1479</v>
      </c>
      <c r="D46" s="14" t="s">
        <v>102</v>
      </c>
      <c r="E46" s="14" t="str">
        <f>"0,7264"</f>
        <v>0,7264</v>
      </c>
      <c r="F46" s="14" t="s">
        <v>1522</v>
      </c>
      <c r="G46" s="14" t="s">
        <v>1578</v>
      </c>
      <c r="H46" s="16" t="s">
        <v>76</v>
      </c>
      <c r="I46" s="16" t="s">
        <v>65</v>
      </c>
      <c r="J46" s="16" t="s">
        <v>66</v>
      </c>
      <c r="K46" s="13"/>
      <c r="L46" s="16" t="s">
        <v>12</v>
      </c>
      <c r="M46" s="15" t="s">
        <v>34</v>
      </c>
      <c r="N46" s="15" t="s">
        <v>44</v>
      </c>
      <c r="O46" s="13"/>
      <c r="P46" s="16" t="s">
        <v>76</v>
      </c>
      <c r="Q46" s="16" t="s">
        <v>65</v>
      </c>
      <c r="R46" s="16" t="s">
        <v>63</v>
      </c>
      <c r="S46" s="13"/>
      <c r="T46" s="13" t="str">
        <f>"540,0"</f>
        <v>540,0</v>
      </c>
      <c r="U46" s="13" t="str">
        <f>"392,2560"</f>
        <v>392,2560</v>
      </c>
      <c r="V46" s="14" t="s">
        <v>857</v>
      </c>
    </row>
    <row r="47" spans="1:22" ht="12.75">
      <c r="A47" s="19" t="s">
        <v>217</v>
      </c>
      <c r="B47" s="19" t="s">
        <v>582</v>
      </c>
      <c r="C47" s="20" t="s">
        <v>1175</v>
      </c>
      <c r="D47" s="20" t="s">
        <v>102</v>
      </c>
      <c r="E47" s="20" t="str">
        <f>"0,7264"</f>
        <v>0,7264</v>
      </c>
      <c r="F47" s="20" t="s">
        <v>1534</v>
      </c>
      <c r="G47" s="20" t="s">
        <v>1535</v>
      </c>
      <c r="H47" s="21" t="s">
        <v>55</v>
      </c>
      <c r="I47" s="22" t="s">
        <v>70</v>
      </c>
      <c r="J47" s="22" t="s">
        <v>70</v>
      </c>
      <c r="K47" s="19"/>
      <c r="L47" s="21" t="s">
        <v>44</v>
      </c>
      <c r="M47" s="22" t="s">
        <v>28</v>
      </c>
      <c r="N47" s="22" t="s">
        <v>28</v>
      </c>
      <c r="O47" s="19"/>
      <c r="P47" s="21" t="s">
        <v>96</v>
      </c>
      <c r="Q47" s="22" t="s">
        <v>115</v>
      </c>
      <c r="R47" s="22" t="s">
        <v>115</v>
      </c>
      <c r="S47" s="19"/>
      <c r="T47" s="19" t="str">
        <f>"535,0"</f>
        <v>535,0</v>
      </c>
      <c r="U47" s="19" t="str">
        <f>"388,6240"</f>
        <v>388,6240</v>
      </c>
      <c r="V47" s="20" t="s">
        <v>41</v>
      </c>
    </row>
    <row r="48" spans="1:22" ht="12.75">
      <c r="A48" s="19" t="s">
        <v>220</v>
      </c>
      <c r="B48" s="19" t="s">
        <v>733</v>
      </c>
      <c r="C48" s="20" t="s">
        <v>1176</v>
      </c>
      <c r="D48" s="20" t="s">
        <v>612</v>
      </c>
      <c r="E48" s="20" t="str">
        <f>"0,7437"</f>
        <v>0,7437</v>
      </c>
      <c r="F48" s="20" t="s">
        <v>1522</v>
      </c>
      <c r="G48" s="20" t="s">
        <v>1567</v>
      </c>
      <c r="H48" s="21" t="s">
        <v>18</v>
      </c>
      <c r="I48" s="22" t="s">
        <v>76</v>
      </c>
      <c r="J48" s="21" t="s">
        <v>76</v>
      </c>
      <c r="K48" s="19"/>
      <c r="L48" s="21" t="s">
        <v>28</v>
      </c>
      <c r="M48" s="22" t="s">
        <v>45</v>
      </c>
      <c r="N48" s="21" t="s">
        <v>45</v>
      </c>
      <c r="O48" s="19"/>
      <c r="P48" s="21" t="s">
        <v>24</v>
      </c>
      <c r="Q48" s="21" t="s">
        <v>72</v>
      </c>
      <c r="R48" s="21" t="s">
        <v>70</v>
      </c>
      <c r="S48" s="19"/>
      <c r="T48" s="19" t="str">
        <f>"500,0"</f>
        <v>500,0</v>
      </c>
      <c r="U48" s="19" t="str">
        <f>"371,8500"</f>
        <v>371,8500</v>
      </c>
      <c r="V48" s="20" t="s">
        <v>41</v>
      </c>
    </row>
    <row r="49" spans="1:22" ht="12.75">
      <c r="A49" s="17" t="s">
        <v>221</v>
      </c>
      <c r="B49" s="17" t="s">
        <v>613</v>
      </c>
      <c r="C49" s="18" t="s">
        <v>1177</v>
      </c>
      <c r="D49" s="18" t="s">
        <v>321</v>
      </c>
      <c r="E49" s="18" t="str">
        <f>"0,7186"</f>
        <v>0,7186</v>
      </c>
      <c r="F49" s="18" t="s">
        <v>1536</v>
      </c>
      <c r="G49" s="18" t="s">
        <v>1537</v>
      </c>
      <c r="H49" s="24" t="s">
        <v>17</v>
      </c>
      <c r="I49" s="23" t="s">
        <v>17</v>
      </c>
      <c r="J49" s="24" t="s">
        <v>18</v>
      </c>
      <c r="K49" s="17"/>
      <c r="L49" s="23" t="s">
        <v>113</v>
      </c>
      <c r="M49" s="23" t="s">
        <v>114</v>
      </c>
      <c r="N49" s="24" t="s">
        <v>35</v>
      </c>
      <c r="O49" s="17"/>
      <c r="P49" s="23" t="s">
        <v>64</v>
      </c>
      <c r="Q49" s="23" t="s">
        <v>367</v>
      </c>
      <c r="R49" s="24" t="s">
        <v>91</v>
      </c>
      <c r="S49" s="17"/>
      <c r="T49" s="17" t="str">
        <f>"500,0"</f>
        <v>500,0</v>
      </c>
      <c r="U49" s="17" t="str">
        <f>"359,3000"</f>
        <v>359,3000</v>
      </c>
      <c r="V49" s="18" t="s">
        <v>614</v>
      </c>
    </row>
    <row r="50" ht="12.75">
      <c r="B50" s="7" t="s">
        <v>218</v>
      </c>
    </row>
    <row r="51" spans="1:21" ht="15">
      <c r="A51" s="124" t="s">
        <v>1154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</row>
    <row r="52" spans="1:22" ht="12.75">
      <c r="A52" s="13" t="s">
        <v>217</v>
      </c>
      <c r="B52" s="13" t="s">
        <v>583</v>
      </c>
      <c r="C52" s="14" t="s">
        <v>1178</v>
      </c>
      <c r="D52" s="14" t="s">
        <v>476</v>
      </c>
      <c r="E52" s="14" t="str">
        <f>"0,6816"</f>
        <v>0,6816</v>
      </c>
      <c r="F52" s="14" t="s">
        <v>1522</v>
      </c>
      <c r="G52" s="14" t="s">
        <v>1579</v>
      </c>
      <c r="H52" s="16" t="s">
        <v>64</v>
      </c>
      <c r="I52" s="16" t="s">
        <v>190</v>
      </c>
      <c r="J52" s="16" t="s">
        <v>65</v>
      </c>
      <c r="K52" s="13"/>
      <c r="L52" s="16" t="s">
        <v>35</v>
      </c>
      <c r="M52" s="16" t="s">
        <v>30</v>
      </c>
      <c r="N52" s="16" t="s">
        <v>22</v>
      </c>
      <c r="O52" s="13"/>
      <c r="P52" s="15" t="s">
        <v>83</v>
      </c>
      <c r="Q52" s="16" t="s">
        <v>83</v>
      </c>
      <c r="R52" s="16" t="s">
        <v>104</v>
      </c>
      <c r="S52" s="13"/>
      <c r="T52" s="13" t="str">
        <f>"595,0"</f>
        <v>595,0</v>
      </c>
      <c r="U52" s="13" t="str">
        <f>"405,5520"</f>
        <v>405,5520</v>
      </c>
      <c r="V52" s="14" t="s">
        <v>41</v>
      </c>
    </row>
    <row r="53" spans="1:22" ht="12.75">
      <c r="A53" s="17" t="s">
        <v>217</v>
      </c>
      <c r="B53" s="17" t="s">
        <v>521</v>
      </c>
      <c r="C53" s="18" t="s">
        <v>1388</v>
      </c>
      <c r="D53" s="18" t="s">
        <v>522</v>
      </c>
      <c r="E53" s="18" t="str">
        <f>"0,6790"</f>
        <v>0,6790</v>
      </c>
      <c r="F53" s="18" t="s">
        <v>1538</v>
      </c>
      <c r="G53" s="18" t="s">
        <v>1539</v>
      </c>
      <c r="H53" s="23" t="s">
        <v>4</v>
      </c>
      <c r="I53" s="23" t="s">
        <v>21</v>
      </c>
      <c r="J53" s="24" t="s">
        <v>231</v>
      </c>
      <c r="K53" s="17"/>
      <c r="L53" s="24" t="s">
        <v>8</v>
      </c>
      <c r="M53" s="23" t="s">
        <v>8</v>
      </c>
      <c r="N53" s="24" t="s">
        <v>21</v>
      </c>
      <c r="O53" s="17"/>
      <c r="P53" s="23" t="s">
        <v>8</v>
      </c>
      <c r="Q53" s="23" t="s">
        <v>12</v>
      </c>
      <c r="R53" s="23" t="s">
        <v>28</v>
      </c>
      <c r="S53" s="17"/>
      <c r="T53" s="17" t="str">
        <f>"320,0"</f>
        <v>320,0</v>
      </c>
      <c r="U53" s="17" t="str">
        <f>"226,8403"</f>
        <v>226,8403</v>
      </c>
      <c r="V53" s="18" t="s">
        <v>41</v>
      </c>
    </row>
    <row r="54" ht="12.75">
      <c r="B54" s="7" t="s">
        <v>218</v>
      </c>
    </row>
    <row r="55" spans="1:21" ht="15">
      <c r="A55" s="124" t="s">
        <v>1156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</row>
    <row r="56" spans="1:22" ht="12.75">
      <c r="A56" s="13" t="s">
        <v>217</v>
      </c>
      <c r="B56" s="13" t="s">
        <v>526</v>
      </c>
      <c r="C56" s="14" t="s">
        <v>1456</v>
      </c>
      <c r="D56" s="14" t="s">
        <v>366</v>
      </c>
      <c r="E56" s="14" t="str">
        <f>"0,6451"</f>
        <v>0,6451</v>
      </c>
      <c r="F56" s="14" t="s">
        <v>1542</v>
      </c>
      <c r="G56" s="14" t="s">
        <v>1543</v>
      </c>
      <c r="H56" s="16" t="s">
        <v>66</v>
      </c>
      <c r="I56" s="15" t="s">
        <v>63</v>
      </c>
      <c r="J56" s="16" t="s">
        <v>63</v>
      </c>
      <c r="K56" s="13"/>
      <c r="L56" s="16" t="s">
        <v>28</v>
      </c>
      <c r="M56" s="16" t="s">
        <v>35</v>
      </c>
      <c r="N56" s="15" t="s">
        <v>357</v>
      </c>
      <c r="O56" s="13"/>
      <c r="P56" s="16" t="s">
        <v>63</v>
      </c>
      <c r="Q56" s="16" t="s">
        <v>104</v>
      </c>
      <c r="R56" s="16" t="s">
        <v>584</v>
      </c>
      <c r="S56" s="13"/>
      <c r="T56" s="13" t="str">
        <f>"610,0"</f>
        <v>610,0</v>
      </c>
      <c r="U56" s="13" t="str">
        <f>"393,5110"</f>
        <v>393,5110</v>
      </c>
      <c r="V56" s="14" t="s">
        <v>858</v>
      </c>
    </row>
    <row r="57" spans="1:22" ht="12.75">
      <c r="A57" s="19" t="s">
        <v>217</v>
      </c>
      <c r="B57" s="19" t="s">
        <v>734</v>
      </c>
      <c r="C57" s="20" t="s">
        <v>1480</v>
      </c>
      <c r="D57" s="20" t="s">
        <v>154</v>
      </c>
      <c r="E57" s="20" t="str">
        <f>"0,6410"</f>
        <v>0,6410</v>
      </c>
      <c r="F57" s="20" t="s">
        <v>1522</v>
      </c>
      <c r="G57" s="20" t="s">
        <v>1575</v>
      </c>
      <c r="H57" s="21" t="s">
        <v>119</v>
      </c>
      <c r="I57" s="21" t="s">
        <v>17</v>
      </c>
      <c r="J57" s="21" t="s">
        <v>23</v>
      </c>
      <c r="K57" s="19"/>
      <c r="L57" s="21" t="s">
        <v>231</v>
      </c>
      <c r="M57" s="21" t="s">
        <v>34</v>
      </c>
      <c r="N57" s="22" t="s">
        <v>280</v>
      </c>
      <c r="O57" s="19"/>
      <c r="P57" s="21" t="s">
        <v>64</v>
      </c>
      <c r="Q57" s="21" t="s">
        <v>91</v>
      </c>
      <c r="R57" s="22" t="s">
        <v>66</v>
      </c>
      <c r="S57" s="19"/>
      <c r="T57" s="19" t="str">
        <f>"490,0"</f>
        <v>490,0</v>
      </c>
      <c r="U57" s="19" t="str">
        <f>"314,0900"</f>
        <v>314,0900</v>
      </c>
      <c r="V57" s="20" t="s">
        <v>735</v>
      </c>
    </row>
    <row r="58" spans="1:22" ht="12.75">
      <c r="A58" s="19" t="s">
        <v>217</v>
      </c>
      <c r="B58" s="19" t="s">
        <v>587</v>
      </c>
      <c r="C58" s="20" t="s">
        <v>1179</v>
      </c>
      <c r="D58" s="20" t="s">
        <v>146</v>
      </c>
      <c r="E58" s="20" t="str">
        <f>"0,6428"</f>
        <v>0,6428</v>
      </c>
      <c r="F58" s="20" t="s">
        <v>1547</v>
      </c>
      <c r="G58" s="20" t="s">
        <v>1548</v>
      </c>
      <c r="H58" s="22" t="s">
        <v>95</v>
      </c>
      <c r="I58" s="21" t="s">
        <v>95</v>
      </c>
      <c r="J58" s="22" t="s">
        <v>96</v>
      </c>
      <c r="K58" s="19"/>
      <c r="L58" s="21" t="s">
        <v>17</v>
      </c>
      <c r="M58" s="22" t="s">
        <v>18</v>
      </c>
      <c r="N58" s="21" t="s">
        <v>18</v>
      </c>
      <c r="O58" s="19"/>
      <c r="P58" s="21" t="s">
        <v>121</v>
      </c>
      <c r="Q58" s="21" t="s">
        <v>155</v>
      </c>
      <c r="R58" s="21" t="s">
        <v>588</v>
      </c>
      <c r="S58" s="19"/>
      <c r="T58" s="19" t="s">
        <v>1126</v>
      </c>
      <c r="U58" s="19" t="s">
        <v>1127</v>
      </c>
      <c r="V58" s="20" t="s">
        <v>575</v>
      </c>
    </row>
    <row r="59" spans="1:22" ht="12.75">
      <c r="A59" s="19" t="s">
        <v>220</v>
      </c>
      <c r="B59" s="19" t="s">
        <v>624</v>
      </c>
      <c r="C59" s="20" t="s">
        <v>1180</v>
      </c>
      <c r="D59" s="20" t="s">
        <v>585</v>
      </c>
      <c r="E59" s="20" t="str">
        <f>"0,6447"</f>
        <v>0,6447</v>
      </c>
      <c r="F59" s="20" t="s">
        <v>1547</v>
      </c>
      <c r="G59" s="20" t="s">
        <v>1549</v>
      </c>
      <c r="H59" s="21" t="s">
        <v>83</v>
      </c>
      <c r="I59" s="21" t="s">
        <v>104</v>
      </c>
      <c r="J59" s="21" t="s">
        <v>124</v>
      </c>
      <c r="K59" s="19"/>
      <c r="L59" s="21" t="s">
        <v>55</v>
      </c>
      <c r="M59" s="22" t="s">
        <v>76</v>
      </c>
      <c r="N59" s="21" t="s">
        <v>76</v>
      </c>
      <c r="O59" s="19"/>
      <c r="P59" s="21" t="s">
        <v>401</v>
      </c>
      <c r="Q59" s="22" t="s">
        <v>164</v>
      </c>
      <c r="R59" s="22" t="s">
        <v>164</v>
      </c>
      <c r="S59" s="19"/>
      <c r="T59" s="19" t="str">
        <f>"715,0"</f>
        <v>715,0</v>
      </c>
      <c r="U59" s="19" t="str">
        <f>"460,9605"</f>
        <v>460,9605</v>
      </c>
      <c r="V59" s="20" t="s">
        <v>41</v>
      </c>
    </row>
    <row r="60" spans="1:22" ht="12.75">
      <c r="A60" s="19" t="s">
        <v>221</v>
      </c>
      <c r="B60" s="19" t="s">
        <v>850</v>
      </c>
      <c r="C60" s="20" t="s">
        <v>1181</v>
      </c>
      <c r="D60" s="20" t="s">
        <v>529</v>
      </c>
      <c r="E60" s="20" t="str">
        <f>"0,6384"</f>
        <v>0,6384</v>
      </c>
      <c r="F60" s="20" t="s">
        <v>1556</v>
      </c>
      <c r="G60" s="20" t="s">
        <v>1557</v>
      </c>
      <c r="H60" s="21" t="s">
        <v>66</v>
      </c>
      <c r="I60" s="21" t="s">
        <v>104</v>
      </c>
      <c r="J60" s="21" t="s">
        <v>173</v>
      </c>
      <c r="K60" s="19"/>
      <c r="L60" s="21" t="s">
        <v>72</v>
      </c>
      <c r="M60" s="21" t="s">
        <v>64</v>
      </c>
      <c r="N60" s="22" t="s">
        <v>65</v>
      </c>
      <c r="O60" s="19"/>
      <c r="P60" s="21" t="s">
        <v>104</v>
      </c>
      <c r="Q60" s="21" t="s">
        <v>124</v>
      </c>
      <c r="R60" s="22" t="s">
        <v>736</v>
      </c>
      <c r="S60" s="19"/>
      <c r="T60" s="19" t="str">
        <f>"695,0"</f>
        <v>695,0</v>
      </c>
      <c r="U60" s="19" t="str">
        <f>"443,6880"</f>
        <v>443,6880</v>
      </c>
      <c r="V60" s="20" t="s">
        <v>41</v>
      </c>
    </row>
    <row r="61" spans="1:22" ht="12.75">
      <c r="A61" s="19" t="s">
        <v>222</v>
      </c>
      <c r="B61" s="19" t="s">
        <v>737</v>
      </c>
      <c r="C61" s="20" t="s">
        <v>1182</v>
      </c>
      <c r="D61" s="20" t="s">
        <v>738</v>
      </c>
      <c r="E61" s="20" t="str">
        <f>"0,6398"</f>
        <v>0,6398</v>
      </c>
      <c r="F61" s="20" t="s">
        <v>1522</v>
      </c>
      <c r="G61" s="20" t="s">
        <v>1580</v>
      </c>
      <c r="H61" s="21" t="s">
        <v>63</v>
      </c>
      <c r="I61" s="22" t="s">
        <v>104</v>
      </c>
      <c r="J61" s="21" t="s">
        <v>104</v>
      </c>
      <c r="K61" s="19"/>
      <c r="L61" s="21" t="s">
        <v>17</v>
      </c>
      <c r="M61" s="22" t="s">
        <v>18</v>
      </c>
      <c r="N61" s="21" t="s">
        <v>18</v>
      </c>
      <c r="O61" s="19"/>
      <c r="P61" s="21" t="s">
        <v>83</v>
      </c>
      <c r="Q61" s="21" t="s">
        <v>124</v>
      </c>
      <c r="R61" s="22" t="s">
        <v>105</v>
      </c>
      <c r="S61" s="19"/>
      <c r="T61" s="19" t="str">
        <f>"660,0"</f>
        <v>660,0</v>
      </c>
      <c r="U61" s="19" t="str">
        <f>"422,2680"</f>
        <v>422,2680</v>
      </c>
      <c r="V61" s="20" t="s">
        <v>41</v>
      </c>
    </row>
    <row r="62" spans="1:22" ht="12.75">
      <c r="A62" s="19" t="s">
        <v>223</v>
      </c>
      <c r="B62" s="19" t="s">
        <v>739</v>
      </c>
      <c r="C62" s="20" t="s">
        <v>1183</v>
      </c>
      <c r="D62" s="20" t="s">
        <v>154</v>
      </c>
      <c r="E62" s="20" t="str">
        <f>"0,6410"</f>
        <v>0,6410</v>
      </c>
      <c r="F62" s="20" t="s">
        <v>1522</v>
      </c>
      <c r="G62" s="20" t="s">
        <v>1576</v>
      </c>
      <c r="H62" s="21" t="s">
        <v>64</v>
      </c>
      <c r="I62" s="21" t="s">
        <v>91</v>
      </c>
      <c r="J62" s="22" t="s">
        <v>66</v>
      </c>
      <c r="K62" s="19"/>
      <c r="L62" s="22" t="s">
        <v>30</v>
      </c>
      <c r="M62" s="21" t="s">
        <v>30</v>
      </c>
      <c r="N62" s="22" t="s">
        <v>17</v>
      </c>
      <c r="O62" s="19"/>
      <c r="P62" s="21" t="s">
        <v>63</v>
      </c>
      <c r="Q62" s="21" t="s">
        <v>120</v>
      </c>
      <c r="R62" s="22" t="s">
        <v>173</v>
      </c>
      <c r="S62" s="19"/>
      <c r="T62" s="19" t="str">
        <f>"600,0"</f>
        <v>600,0</v>
      </c>
      <c r="U62" s="19" t="str">
        <f>"384,6000"</f>
        <v>384,6000</v>
      </c>
      <c r="V62" s="20" t="s">
        <v>859</v>
      </c>
    </row>
    <row r="63" spans="1:22" ht="12.75">
      <c r="A63" s="19" t="s">
        <v>217</v>
      </c>
      <c r="B63" s="19" t="s">
        <v>181</v>
      </c>
      <c r="C63" s="20" t="s">
        <v>1389</v>
      </c>
      <c r="D63" s="20" t="s">
        <v>359</v>
      </c>
      <c r="E63" s="20" t="str">
        <f>"0,6432"</f>
        <v>0,6432</v>
      </c>
      <c r="F63" s="20" t="s">
        <v>1540</v>
      </c>
      <c r="G63" s="20" t="s">
        <v>1539</v>
      </c>
      <c r="H63" s="21" t="s">
        <v>18</v>
      </c>
      <c r="I63" s="21" t="s">
        <v>76</v>
      </c>
      <c r="J63" s="19"/>
      <c r="K63" s="19"/>
      <c r="L63" s="21" t="s">
        <v>29</v>
      </c>
      <c r="M63" s="21" t="s">
        <v>22</v>
      </c>
      <c r="N63" s="19"/>
      <c r="O63" s="19"/>
      <c r="P63" s="21" t="s">
        <v>66</v>
      </c>
      <c r="Q63" s="21" t="s">
        <v>63</v>
      </c>
      <c r="R63" s="19"/>
      <c r="S63" s="19"/>
      <c r="T63" s="19" t="str">
        <f>"555,0"</f>
        <v>555,0</v>
      </c>
      <c r="U63" s="19" t="str">
        <f>"404,0968"</f>
        <v>404,0968</v>
      </c>
      <c r="V63" s="20" t="s">
        <v>41</v>
      </c>
    </row>
    <row r="64" spans="1:22" ht="12.75">
      <c r="A64" s="17" t="s">
        <v>217</v>
      </c>
      <c r="B64" s="17" t="s">
        <v>538</v>
      </c>
      <c r="C64" s="18" t="s">
        <v>1390</v>
      </c>
      <c r="D64" s="18" t="s">
        <v>182</v>
      </c>
      <c r="E64" s="18" t="str">
        <f>"0,6421"</f>
        <v>0,6421</v>
      </c>
      <c r="F64" s="18" t="s">
        <v>1522</v>
      </c>
      <c r="G64" s="18" t="s">
        <v>1581</v>
      </c>
      <c r="H64" s="23" t="s">
        <v>45</v>
      </c>
      <c r="I64" s="23" t="s">
        <v>357</v>
      </c>
      <c r="J64" s="24" t="s">
        <v>48</v>
      </c>
      <c r="K64" s="17"/>
      <c r="L64" s="23" t="s">
        <v>21</v>
      </c>
      <c r="M64" s="23" t="s">
        <v>39</v>
      </c>
      <c r="N64" s="23" t="s">
        <v>12</v>
      </c>
      <c r="O64" s="17"/>
      <c r="P64" s="23" t="s">
        <v>22</v>
      </c>
      <c r="Q64" s="23" t="s">
        <v>17</v>
      </c>
      <c r="R64" s="23" t="s">
        <v>23</v>
      </c>
      <c r="S64" s="17"/>
      <c r="T64" s="17" t="str">
        <f>"417,5"</f>
        <v>417,5</v>
      </c>
      <c r="U64" s="17" t="str">
        <f>"341,2617"</f>
        <v>341,2617</v>
      </c>
      <c r="V64" s="18" t="s">
        <v>41</v>
      </c>
    </row>
    <row r="65" ht="12.75">
      <c r="B65" s="7" t="s">
        <v>218</v>
      </c>
    </row>
    <row r="66" spans="1:21" ht="15">
      <c r="A66" s="124" t="s">
        <v>1157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</row>
    <row r="67" spans="1:22" ht="12.75">
      <c r="A67" s="13" t="s">
        <v>217</v>
      </c>
      <c r="B67" s="13" t="s">
        <v>740</v>
      </c>
      <c r="C67" s="14" t="s">
        <v>1184</v>
      </c>
      <c r="D67" s="14" t="s">
        <v>741</v>
      </c>
      <c r="E67" s="14" t="str">
        <f>"0,6177"</f>
        <v>0,6177</v>
      </c>
      <c r="F67" s="14" t="s">
        <v>724</v>
      </c>
      <c r="G67" s="14" t="s">
        <v>1582</v>
      </c>
      <c r="H67" s="16" t="s">
        <v>63</v>
      </c>
      <c r="I67" s="16" t="s">
        <v>83</v>
      </c>
      <c r="J67" s="16" t="s">
        <v>104</v>
      </c>
      <c r="K67" s="13"/>
      <c r="L67" s="16" t="s">
        <v>18</v>
      </c>
      <c r="M67" s="16" t="s">
        <v>72</v>
      </c>
      <c r="N67" s="16" t="s">
        <v>70</v>
      </c>
      <c r="O67" s="13"/>
      <c r="P67" s="16" t="s">
        <v>105</v>
      </c>
      <c r="Q67" s="16" t="s">
        <v>106</v>
      </c>
      <c r="R67" s="16" t="s">
        <v>121</v>
      </c>
      <c r="S67" s="13"/>
      <c r="T67" s="13" t="str">
        <f>"705,0"</f>
        <v>705,0</v>
      </c>
      <c r="U67" s="13" t="str">
        <f>"435,4785"</f>
        <v>435,4785</v>
      </c>
      <c r="V67" s="14" t="s">
        <v>41</v>
      </c>
    </row>
    <row r="68" spans="1:22" ht="12.75">
      <c r="A68" s="19" t="s">
        <v>220</v>
      </c>
      <c r="B68" s="19" t="s">
        <v>742</v>
      </c>
      <c r="C68" s="20" t="s">
        <v>1185</v>
      </c>
      <c r="D68" s="20" t="s">
        <v>743</v>
      </c>
      <c r="E68" s="20" t="str">
        <f>"0,6183"</f>
        <v>0,6183</v>
      </c>
      <c r="F68" s="20" t="s">
        <v>1522</v>
      </c>
      <c r="G68" s="20" t="s">
        <v>1583</v>
      </c>
      <c r="H68" s="21" t="s">
        <v>95</v>
      </c>
      <c r="I68" s="21" t="s">
        <v>348</v>
      </c>
      <c r="J68" s="19"/>
      <c r="K68" s="19"/>
      <c r="L68" s="21" t="s">
        <v>17</v>
      </c>
      <c r="M68" s="21" t="s">
        <v>18</v>
      </c>
      <c r="N68" s="22" t="s">
        <v>55</v>
      </c>
      <c r="O68" s="19"/>
      <c r="P68" s="21" t="s">
        <v>124</v>
      </c>
      <c r="Q68" s="21" t="s">
        <v>125</v>
      </c>
      <c r="R68" s="22" t="s">
        <v>98</v>
      </c>
      <c r="S68" s="19"/>
      <c r="T68" s="19" t="str">
        <f>"667,5"</f>
        <v>667,5</v>
      </c>
      <c r="U68" s="19" t="str">
        <f>"412,7153"</f>
        <v>412,7153</v>
      </c>
      <c r="V68" s="20" t="s">
        <v>744</v>
      </c>
    </row>
    <row r="69" spans="1:22" ht="12.75">
      <c r="A69" s="19" t="s">
        <v>221</v>
      </c>
      <c r="B69" s="19" t="s">
        <v>591</v>
      </c>
      <c r="C69" s="20" t="s">
        <v>1186</v>
      </c>
      <c r="D69" s="20" t="s">
        <v>392</v>
      </c>
      <c r="E69" s="20" t="str">
        <f>"0,6169"</f>
        <v>0,6169</v>
      </c>
      <c r="F69" s="20" t="s">
        <v>1540</v>
      </c>
      <c r="G69" s="20" t="s">
        <v>1541</v>
      </c>
      <c r="H69" s="21" t="s">
        <v>18</v>
      </c>
      <c r="I69" s="21" t="s">
        <v>72</v>
      </c>
      <c r="J69" s="21" t="s">
        <v>367</v>
      </c>
      <c r="K69" s="19"/>
      <c r="L69" s="21" t="s">
        <v>12</v>
      </c>
      <c r="M69" s="21" t="s">
        <v>280</v>
      </c>
      <c r="N69" s="21" t="s">
        <v>285</v>
      </c>
      <c r="O69" s="19"/>
      <c r="P69" s="21" t="s">
        <v>95</v>
      </c>
      <c r="Q69" s="21" t="s">
        <v>345</v>
      </c>
      <c r="R69" s="19"/>
      <c r="S69" s="19"/>
      <c r="T69" s="19" t="str">
        <f>"557,5"</f>
        <v>557,5</v>
      </c>
      <c r="U69" s="19" t="str">
        <f>"343,9218"</f>
        <v>343,9218</v>
      </c>
      <c r="V69" s="20" t="s">
        <v>41</v>
      </c>
    </row>
    <row r="70" spans="1:22" ht="12.75">
      <c r="A70" s="19" t="s">
        <v>222</v>
      </c>
      <c r="B70" s="19" t="s">
        <v>745</v>
      </c>
      <c r="C70" s="20" t="s">
        <v>1187</v>
      </c>
      <c r="D70" s="20" t="s">
        <v>746</v>
      </c>
      <c r="E70" s="20" t="str">
        <f>"0,6172"</f>
        <v>0,6172</v>
      </c>
      <c r="F70" s="20" t="s">
        <v>1522</v>
      </c>
      <c r="G70" s="20" t="s">
        <v>1567</v>
      </c>
      <c r="H70" s="21" t="s">
        <v>64</v>
      </c>
      <c r="I70" s="21" t="s">
        <v>65</v>
      </c>
      <c r="J70" s="22" t="s">
        <v>66</v>
      </c>
      <c r="K70" s="19"/>
      <c r="L70" s="21" t="s">
        <v>34</v>
      </c>
      <c r="M70" s="21" t="s">
        <v>285</v>
      </c>
      <c r="N70" s="22" t="s">
        <v>28</v>
      </c>
      <c r="O70" s="19"/>
      <c r="P70" s="21" t="s">
        <v>190</v>
      </c>
      <c r="Q70" s="21" t="s">
        <v>66</v>
      </c>
      <c r="R70" s="21" t="s">
        <v>63</v>
      </c>
      <c r="S70" s="19"/>
      <c r="T70" s="19" t="str">
        <f>"547,5"</f>
        <v>547,5</v>
      </c>
      <c r="U70" s="19" t="str">
        <f>"337,9170"</f>
        <v>337,9170</v>
      </c>
      <c r="V70" s="20" t="s">
        <v>41</v>
      </c>
    </row>
    <row r="71" spans="1:22" ht="12.75">
      <c r="A71" s="19" t="s">
        <v>217</v>
      </c>
      <c r="B71" s="19" t="s">
        <v>591</v>
      </c>
      <c r="C71" s="20" t="s">
        <v>1391</v>
      </c>
      <c r="D71" s="20" t="s">
        <v>392</v>
      </c>
      <c r="E71" s="20" t="str">
        <f>"0,6169"</f>
        <v>0,6169</v>
      </c>
      <c r="F71" s="20" t="s">
        <v>1540</v>
      </c>
      <c r="G71" s="20" t="s">
        <v>1541</v>
      </c>
      <c r="H71" s="21" t="s">
        <v>18</v>
      </c>
      <c r="I71" s="21" t="s">
        <v>72</v>
      </c>
      <c r="J71" s="21" t="s">
        <v>367</v>
      </c>
      <c r="K71" s="19"/>
      <c r="L71" s="21" t="s">
        <v>12</v>
      </c>
      <c r="M71" s="21" t="s">
        <v>280</v>
      </c>
      <c r="N71" s="21" t="s">
        <v>285</v>
      </c>
      <c r="O71" s="19"/>
      <c r="P71" s="21" t="s">
        <v>95</v>
      </c>
      <c r="Q71" s="21" t="s">
        <v>345</v>
      </c>
      <c r="R71" s="19"/>
      <c r="S71" s="19"/>
      <c r="T71" s="19" t="str">
        <f>"557,5"</f>
        <v>557,5</v>
      </c>
      <c r="U71" s="19" t="str">
        <f>"454,6646"</f>
        <v>454,6646</v>
      </c>
      <c r="V71" s="20" t="s">
        <v>41</v>
      </c>
    </row>
    <row r="72" spans="1:22" ht="12.75">
      <c r="A72" s="19" t="s">
        <v>220</v>
      </c>
      <c r="B72" s="19" t="s">
        <v>394</v>
      </c>
      <c r="C72" s="20" t="s">
        <v>1392</v>
      </c>
      <c r="D72" s="20" t="s">
        <v>395</v>
      </c>
      <c r="E72" s="20" t="str">
        <f>"0,6118"</f>
        <v>0,6118</v>
      </c>
      <c r="F72" s="20" t="s">
        <v>1540</v>
      </c>
      <c r="G72" s="20" t="s">
        <v>1539</v>
      </c>
      <c r="H72" s="21" t="s">
        <v>28</v>
      </c>
      <c r="I72" s="21" t="s">
        <v>30</v>
      </c>
      <c r="J72" s="21" t="s">
        <v>76</v>
      </c>
      <c r="K72" s="19"/>
      <c r="L72" s="21" t="s">
        <v>29</v>
      </c>
      <c r="M72" s="22" t="s">
        <v>48</v>
      </c>
      <c r="N72" s="21" t="s">
        <v>119</v>
      </c>
      <c r="O72" s="19"/>
      <c r="P72" s="21" t="s">
        <v>28</v>
      </c>
      <c r="Q72" s="19"/>
      <c r="R72" s="19"/>
      <c r="S72" s="19"/>
      <c r="T72" s="19" t="str">
        <f>"462,5"</f>
        <v>462,5</v>
      </c>
      <c r="U72" s="19" t="str">
        <f>"341,5297"</f>
        <v>341,5297</v>
      </c>
      <c r="V72" s="20" t="s">
        <v>396</v>
      </c>
    </row>
    <row r="73" spans="1:22" ht="12.75">
      <c r="A73" s="17" t="s">
        <v>219</v>
      </c>
      <c r="B73" s="17" t="s">
        <v>849</v>
      </c>
      <c r="C73" s="18" t="s">
        <v>1393</v>
      </c>
      <c r="D73" s="18" t="s">
        <v>378</v>
      </c>
      <c r="E73" s="18" t="str">
        <f>"0,6144"</f>
        <v>0,6144</v>
      </c>
      <c r="F73" s="18" t="s">
        <v>1522</v>
      </c>
      <c r="G73" s="18" t="s">
        <v>1584</v>
      </c>
      <c r="H73" s="24" t="s">
        <v>35</v>
      </c>
      <c r="I73" s="24" t="s">
        <v>35</v>
      </c>
      <c r="J73" s="24" t="s">
        <v>35</v>
      </c>
      <c r="K73" s="17"/>
      <c r="L73" s="24"/>
      <c r="M73" s="17"/>
      <c r="N73" s="17"/>
      <c r="O73" s="17"/>
      <c r="P73" s="24"/>
      <c r="Q73" s="17"/>
      <c r="R73" s="17"/>
      <c r="S73" s="17"/>
      <c r="T73" s="17" t="str">
        <f>"0,0"</f>
        <v>0,0</v>
      </c>
      <c r="U73" s="17" t="str">
        <f>"0,0000"</f>
        <v>0,0000</v>
      </c>
      <c r="V73" s="18" t="s">
        <v>41</v>
      </c>
    </row>
    <row r="74" ht="12.75">
      <c r="B74" s="7" t="s">
        <v>218</v>
      </c>
    </row>
    <row r="75" spans="1:21" ht="15">
      <c r="A75" s="124" t="s">
        <v>1158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</row>
    <row r="76" spans="1:22" ht="12.75">
      <c r="A76" s="13" t="s">
        <v>217</v>
      </c>
      <c r="B76" s="13" t="s">
        <v>747</v>
      </c>
      <c r="C76" s="14" t="s">
        <v>1188</v>
      </c>
      <c r="D76" s="14" t="s">
        <v>597</v>
      </c>
      <c r="E76" s="14" t="str">
        <f>"0,6032"</f>
        <v>0,6032</v>
      </c>
      <c r="F76" s="14" t="s">
        <v>1561</v>
      </c>
      <c r="G76" s="14" t="s">
        <v>1564</v>
      </c>
      <c r="H76" s="16" t="s">
        <v>35</v>
      </c>
      <c r="I76" s="16" t="s">
        <v>30</v>
      </c>
      <c r="J76" s="16" t="s">
        <v>18</v>
      </c>
      <c r="K76" s="13"/>
      <c r="L76" s="16" t="s">
        <v>34</v>
      </c>
      <c r="M76" s="16" t="s">
        <v>28</v>
      </c>
      <c r="N76" s="16" t="s">
        <v>357</v>
      </c>
      <c r="O76" s="13"/>
      <c r="P76" s="16" t="s">
        <v>34</v>
      </c>
      <c r="Q76" s="13"/>
      <c r="R76" s="13"/>
      <c r="S76" s="13"/>
      <c r="T76" s="13" t="str">
        <f>"432,5"</f>
        <v>432,5</v>
      </c>
      <c r="U76" s="13" t="str">
        <f>"260,8840"</f>
        <v>260,8840</v>
      </c>
      <c r="V76" s="14" t="s">
        <v>41</v>
      </c>
    </row>
    <row r="77" spans="1:22" ht="12.75">
      <c r="A77" s="17" t="s">
        <v>217</v>
      </c>
      <c r="B77" s="17" t="s">
        <v>560</v>
      </c>
      <c r="C77" s="18" t="s">
        <v>1394</v>
      </c>
      <c r="D77" s="18" t="s">
        <v>559</v>
      </c>
      <c r="E77" s="18" t="str">
        <f>"0,6028"</f>
        <v>0,6028</v>
      </c>
      <c r="F77" s="18" t="s">
        <v>1540</v>
      </c>
      <c r="G77" s="18" t="s">
        <v>1539</v>
      </c>
      <c r="H77" s="23" t="s">
        <v>28</v>
      </c>
      <c r="I77" s="23" t="s">
        <v>30</v>
      </c>
      <c r="J77" s="23" t="s">
        <v>18</v>
      </c>
      <c r="K77" s="17"/>
      <c r="L77" s="23" t="s">
        <v>45</v>
      </c>
      <c r="M77" s="24" t="s">
        <v>29</v>
      </c>
      <c r="N77" s="24" t="s">
        <v>30</v>
      </c>
      <c r="O77" s="17"/>
      <c r="P77" s="23" t="s">
        <v>30</v>
      </c>
      <c r="Q77" s="23" t="s">
        <v>18</v>
      </c>
      <c r="R77" s="23" t="s">
        <v>64</v>
      </c>
      <c r="S77" s="17"/>
      <c r="T77" s="17" t="str">
        <f>"495,0"</f>
        <v>495,0</v>
      </c>
      <c r="U77" s="17" t="str">
        <f>"420,7243"</f>
        <v>420,7243</v>
      </c>
      <c r="V77" s="18" t="s">
        <v>523</v>
      </c>
    </row>
    <row r="78" ht="12.75">
      <c r="B78" s="7" t="s">
        <v>218</v>
      </c>
    </row>
    <row r="79" spans="1:21" ht="15">
      <c r="A79" s="124" t="s">
        <v>1159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</row>
    <row r="80" spans="1:22" ht="12.75">
      <c r="A80" s="13" t="s">
        <v>217</v>
      </c>
      <c r="B80" s="13" t="s">
        <v>748</v>
      </c>
      <c r="C80" s="14" t="s">
        <v>1189</v>
      </c>
      <c r="D80" s="14" t="s">
        <v>749</v>
      </c>
      <c r="E80" s="14" t="str">
        <f>"0,5806"</f>
        <v>0,5806</v>
      </c>
      <c r="F80" s="14" t="s">
        <v>1522</v>
      </c>
      <c r="G80" s="14" t="s">
        <v>1585</v>
      </c>
      <c r="H80" s="16" t="s">
        <v>170</v>
      </c>
      <c r="I80" s="16" t="s">
        <v>156</v>
      </c>
      <c r="J80" s="15" t="s">
        <v>666</v>
      </c>
      <c r="K80" s="13"/>
      <c r="L80" s="15" t="s">
        <v>29</v>
      </c>
      <c r="M80" s="16" t="s">
        <v>29</v>
      </c>
      <c r="N80" s="16" t="s">
        <v>22</v>
      </c>
      <c r="O80" s="13"/>
      <c r="P80" s="16" t="s">
        <v>170</v>
      </c>
      <c r="Q80" s="16" t="s">
        <v>178</v>
      </c>
      <c r="R80" s="15" t="s">
        <v>156</v>
      </c>
      <c r="S80" s="13"/>
      <c r="T80" s="13" t="str">
        <f>"762,5"</f>
        <v>762,5</v>
      </c>
      <c r="U80" s="13" t="str">
        <f>"442,7075"</f>
        <v>442,7075</v>
      </c>
      <c r="V80" s="14" t="s">
        <v>41</v>
      </c>
    </row>
    <row r="81" spans="1:22" ht="12.75">
      <c r="A81" s="19" t="s">
        <v>220</v>
      </c>
      <c r="B81" s="19" t="s">
        <v>564</v>
      </c>
      <c r="C81" s="20" t="s">
        <v>1190</v>
      </c>
      <c r="D81" s="20" t="s">
        <v>565</v>
      </c>
      <c r="E81" s="20" t="str">
        <f>"0,5710"</f>
        <v>0,5710</v>
      </c>
      <c r="F81" s="20" t="s">
        <v>1522</v>
      </c>
      <c r="G81" s="20" t="s">
        <v>1583</v>
      </c>
      <c r="H81" s="21" t="s">
        <v>124</v>
      </c>
      <c r="I81" s="21" t="s">
        <v>105</v>
      </c>
      <c r="J81" s="21" t="s">
        <v>106</v>
      </c>
      <c r="K81" s="19"/>
      <c r="L81" s="22" t="s">
        <v>527</v>
      </c>
      <c r="M81" s="21" t="s">
        <v>190</v>
      </c>
      <c r="N81" s="22" t="s">
        <v>367</v>
      </c>
      <c r="O81" s="19"/>
      <c r="P81" s="21" t="s">
        <v>106</v>
      </c>
      <c r="Q81" s="21" t="s">
        <v>170</v>
      </c>
      <c r="R81" s="22" t="s">
        <v>164</v>
      </c>
      <c r="S81" s="19"/>
      <c r="T81" s="19" t="str">
        <f>"755,0"</f>
        <v>755,0</v>
      </c>
      <c r="U81" s="19" t="str">
        <f>"431,1050"</f>
        <v>431,1050</v>
      </c>
      <c r="V81" s="20" t="s">
        <v>566</v>
      </c>
    </row>
    <row r="82" spans="1:22" ht="12.75">
      <c r="A82" s="19" t="s">
        <v>221</v>
      </c>
      <c r="B82" s="19" t="s">
        <v>750</v>
      </c>
      <c r="C82" s="20" t="s">
        <v>1191</v>
      </c>
      <c r="D82" s="20" t="s">
        <v>189</v>
      </c>
      <c r="E82" s="20" t="str">
        <f>"0,5743"</f>
        <v>0,5743</v>
      </c>
      <c r="F82" s="20" t="s">
        <v>1522</v>
      </c>
      <c r="G82" s="20" t="s">
        <v>1574</v>
      </c>
      <c r="H82" s="21" t="s">
        <v>65</v>
      </c>
      <c r="I82" s="21" t="s">
        <v>84</v>
      </c>
      <c r="J82" s="22" t="s">
        <v>95</v>
      </c>
      <c r="K82" s="19"/>
      <c r="L82" s="21" t="s">
        <v>30</v>
      </c>
      <c r="M82" s="21" t="s">
        <v>17</v>
      </c>
      <c r="N82" s="22" t="s">
        <v>23</v>
      </c>
      <c r="O82" s="19"/>
      <c r="P82" s="22" t="s">
        <v>120</v>
      </c>
      <c r="Q82" s="21" t="s">
        <v>105</v>
      </c>
      <c r="R82" s="21" t="s">
        <v>106</v>
      </c>
      <c r="S82" s="19"/>
      <c r="T82" s="19" t="str">
        <f>"645,0"</f>
        <v>645,0</v>
      </c>
      <c r="U82" s="19" t="str">
        <f>"370,4235"</f>
        <v>370,4235</v>
      </c>
      <c r="V82" s="20" t="s">
        <v>751</v>
      </c>
    </row>
    <row r="83" spans="1:22" ht="12.75">
      <c r="A83" s="19" t="s">
        <v>217</v>
      </c>
      <c r="B83" s="19" t="s">
        <v>564</v>
      </c>
      <c r="C83" s="20" t="s">
        <v>1395</v>
      </c>
      <c r="D83" s="20" t="s">
        <v>565</v>
      </c>
      <c r="E83" s="20" t="str">
        <f>"0,5710"</f>
        <v>0,5710</v>
      </c>
      <c r="F83" s="20" t="s">
        <v>1522</v>
      </c>
      <c r="G83" s="20" t="s">
        <v>1583</v>
      </c>
      <c r="H83" s="21" t="s">
        <v>124</v>
      </c>
      <c r="I83" s="21" t="s">
        <v>105</v>
      </c>
      <c r="J83" s="21" t="s">
        <v>106</v>
      </c>
      <c r="K83" s="19"/>
      <c r="L83" s="22" t="s">
        <v>527</v>
      </c>
      <c r="M83" s="21" t="s">
        <v>190</v>
      </c>
      <c r="N83" s="22" t="s">
        <v>367</v>
      </c>
      <c r="O83" s="19"/>
      <c r="P83" s="21" t="s">
        <v>106</v>
      </c>
      <c r="Q83" s="21" t="s">
        <v>170</v>
      </c>
      <c r="R83" s="22" t="s">
        <v>164</v>
      </c>
      <c r="S83" s="19"/>
      <c r="T83" s="19" t="str">
        <f>"755,0"</f>
        <v>755,0</v>
      </c>
      <c r="U83" s="19" t="str">
        <f>"450,0736"</f>
        <v>450,0736</v>
      </c>
      <c r="V83" s="20" t="s">
        <v>566</v>
      </c>
    </row>
    <row r="84" spans="1:22" ht="12.75">
      <c r="A84" s="17" t="s">
        <v>217</v>
      </c>
      <c r="B84" s="17" t="s">
        <v>598</v>
      </c>
      <c r="C84" s="18" t="s">
        <v>1396</v>
      </c>
      <c r="D84" s="18" t="s">
        <v>599</v>
      </c>
      <c r="E84" s="18" t="str">
        <f>"0,5828"</f>
        <v>0,5828</v>
      </c>
      <c r="F84" s="18" t="s">
        <v>1522</v>
      </c>
      <c r="G84" s="18" t="s">
        <v>1586</v>
      </c>
      <c r="H84" s="23" t="s">
        <v>55</v>
      </c>
      <c r="I84" s="23" t="s">
        <v>84</v>
      </c>
      <c r="J84" s="23" t="s">
        <v>95</v>
      </c>
      <c r="K84" s="17"/>
      <c r="L84" s="23" t="s">
        <v>39</v>
      </c>
      <c r="M84" s="23" t="s">
        <v>44</v>
      </c>
      <c r="N84" s="24" t="s">
        <v>28</v>
      </c>
      <c r="O84" s="17"/>
      <c r="P84" s="23" t="s">
        <v>91</v>
      </c>
      <c r="Q84" s="23" t="s">
        <v>120</v>
      </c>
      <c r="R84" s="23" t="s">
        <v>105</v>
      </c>
      <c r="S84" s="17"/>
      <c r="T84" s="17" t="str">
        <f>"610,0"</f>
        <v>610,0</v>
      </c>
      <c r="U84" s="17" t="str">
        <f>"444,3850"</f>
        <v>444,3850</v>
      </c>
      <c r="V84" s="18" t="s">
        <v>600</v>
      </c>
    </row>
    <row r="85" ht="12.75">
      <c r="B85" s="7" t="s">
        <v>218</v>
      </c>
    </row>
    <row r="86" spans="1:21" ht="15">
      <c r="A86" s="124" t="s">
        <v>1160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</row>
    <row r="87" spans="1:22" ht="12.75">
      <c r="A87" s="8" t="s">
        <v>219</v>
      </c>
      <c r="B87" s="8" t="s">
        <v>433</v>
      </c>
      <c r="C87" s="9" t="s">
        <v>1192</v>
      </c>
      <c r="D87" s="9" t="s">
        <v>434</v>
      </c>
      <c r="E87" s="9" t="str">
        <f>"0,5603"</f>
        <v>0,5603</v>
      </c>
      <c r="F87" s="9" t="s">
        <v>1556</v>
      </c>
      <c r="G87" s="9" t="s">
        <v>1558</v>
      </c>
      <c r="H87" s="11" t="s">
        <v>104</v>
      </c>
      <c r="I87" s="11" t="s">
        <v>104</v>
      </c>
      <c r="J87" s="11" t="s">
        <v>104</v>
      </c>
      <c r="K87" s="8"/>
      <c r="L87" s="11"/>
      <c r="M87" s="8"/>
      <c r="N87" s="8"/>
      <c r="O87" s="8"/>
      <c r="P87" s="11"/>
      <c r="Q87" s="8"/>
      <c r="R87" s="8"/>
      <c r="S87" s="8"/>
      <c r="T87" s="8" t="str">
        <f>"0,0"</f>
        <v>0,0</v>
      </c>
      <c r="U87" s="8" t="str">
        <f>"0,0000"</f>
        <v>0,0000</v>
      </c>
      <c r="V87" s="9" t="s">
        <v>390</v>
      </c>
    </row>
    <row r="88" ht="12.75">
      <c r="B88" s="7" t="s">
        <v>218</v>
      </c>
    </row>
    <row r="89" spans="2:3" ht="18">
      <c r="B89" s="25" t="s">
        <v>1515</v>
      </c>
      <c r="C89" s="25"/>
    </row>
    <row r="90" spans="2:3" ht="15">
      <c r="B90" s="27" t="s">
        <v>1516</v>
      </c>
      <c r="C90" s="27"/>
    </row>
    <row r="91" spans="2:3" ht="14.25">
      <c r="B91" s="28"/>
      <c r="C91" s="29" t="s">
        <v>1193</v>
      </c>
    </row>
    <row r="92" spans="2:6" ht="15">
      <c r="B92" s="4" t="s">
        <v>1134</v>
      </c>
      <c r="C92" s="4" t="s">
        <v>1135</v>
      </c>
      <c r="D92" s="4" t="s">
        <v>1711</v>
      </c>
      <c r="E92" s="4" t="s">
        <v>1145</v>
      </c>
      <c r="F92" s="4" t="s">
        <v>193</v>
      </c>
    </row>
    <row r="93" spans="2:6" ht="12.75">
      <c r="B93" s="7" t="s">
        <v>718</v>
      </c>
      <c r="C93" s="6" t="s">
        <v>1193</v>
      </c>
      <c r="D93" s="7" t="s">
        <v>448</v>
      </c>
      <c r="E93" s="7" t="s">
        <v>736</v>
      </c>
      <c r="F93" s="7" t="s">
        <v>753</v>
      </c>
    </row>
    <row r="94" spans="2:6" ht="12.75">
      <c r="B94" s="7" t="s">
        <v>719</v>
      </c>
      <c r="C94" s="6" t="s">
        <v>1193</v>
      </c>
      <c r="D94" s="7" t="s">
        <v>448</v>
      </c>
      <c r="E94" s="7" t="s">
        <v>97</v>
      </c>
      <c r="F94" s="7" t="s">
        <v>754</v>
      </c>
    </row>
    <row r="95" spans="2:6" ht="12.75">
      <c r="B95" s="7" t="s">
        <v>721</v>
      </c>
      <c r="C95" s="6" t="s">
        <v>1193</v>
      </c>
      <c r="D95" s="7" t="s">
        <v>54</v>
      </c>
      <c r="E95" s="7" t="s">
        <v>121</v>
      </c>
      <c r="F95" s="7" t="s">
        <v>752</v>
      </c>
    </row>
    <row r="97" spans="2:3" ht="15">
      <c r="B97" s="27" t="s">
        <v>1517</v>
      </c>
      <c r="C97" s="27"/>
    </row>
    <row r="98" spans="2:3" ht="14.25">
      <c r="B98" s="28"/>
      <c r="C98" s="29" t="s">
        <v>1193</v>
      </c>
    </row>
    <row r="99" spans="2:6" ht="15">
      <c r="B99" s="4" t="s">
        <v>1134</v>
      </c>
      <c r="C99" s="4" t="s">
        <v>1135</v>
      </c>
      <c r="D99" s="4" t="s">
        <v>1711</v>
      </c>
      <c r="E99" s="4" t="s">
        <v>1145</v>
      </c>
      <c r="F99" s="4" t="s">
        <v>193</v>
      </c>
    </row>
    <row r="100" spans="2:6" ht="12.75">
      <c r="B100" s="7" t="s">
        <v>624</v>
      </c>
      <c r="C100" s="6" t="s">
        <v>1193</v>
      </c>
      <c r="D100" s="7" t="s">
        <v>8</v>
      </c>
      <c r="E100" s="7" t="s">
        <v>755</v>
      </c>
      <c r="F100" s="7" t="s">
        <v>756</v>
      </c>
    </row>
    <row r="101" spans="2:6" ht="12.75">
      <c r="B101" s="7" t="s">
        <v>587</v>
      </c>
      <c r="C101" s="6" t="s">
        <v>1193</v>
      </c>
      <c r="D101" s="7" t="s">
        <v>8</v>
      </c>
      <c r="E101" s="7" t="s">
        <v>755</v>
      </c>
      <c r="F101" s="7" t="s">
        <v>757</v>
      </c>
    </row>
    <row r="102" spans="2:6" ht="12.75">
      <c r="B102" s="7" t="s">
        <v>850</v>
      </c>
      <c r="C102" s="6" t="s">
        <v>1193</v>
      </c>
      <c r="D102" s="7" t="s">
        <v>8</v>
      </c>
      <c r="E102" s="7" t="s">
        <v>758</v>
      </c>
      <c r="F102" s="7" t="s">
        <v>759</v>
      </c>
    </row>
    <row r="104" spans="2:3" ht="14.25">
      <c r="B104" s="28"/>
      <c r="C104" s="29" t="s">
        <v>1397</v>
      </c>
    </row>
    <row r="105" spans="2:6" ht="15">
      <c r="B105" s="4" t="s">
        <v>1134</v>
      </c>
      <c r="C105" s="4" t="s">
        <v>1135</v>
      </c>
      <c r="D105" s="4" t="s">
        <v>1711</v>
      </c>
      <c r="E105" s="4" t="s">
        <v>1145</v>
      </c>
      <c r="F105" s="4" t="s">
        <v>193</v>
      </c>
    </row>
    <row r="106" spans="2:6" ht="12.75">
      <c r="B106" s="7" t="s">
        <v>591</v>
      </c>
      <c r="C106" s="6" t="s">
        <v>1398</v>
      </c>
      <c r="D106" s="7" t="s">
        <v>21</v>
      </c>
      <c r="E106" s="7" t="s">
        <v>462</v>
      </c>
      <c r="F106" s="7" t="s">
        <v>760</v>
      </c>
    </row>
    <row r="107" spans="2:6" ht="12.75">
      <c r="B107" s="7" t="s">
        <v>564</v>
      </c>
      <c r="C107" s="6" t="s">
        <v>1399</v>
      </c>
      <c r="D107" s="7" t="s">
        <v>44</v>
      </c>
      <c r="E107" s="7" t="s">
        <v>761</v>
      </c>
      <c r="F107" s="7" t="s">
        <v>762</v>
      </c>
    </row>
    <row r="108" spans="2:6" ht="12.75">
      <c r="B108" s="7" t="s">
        <v>598</v>
      </c>
      <c r="C108" s="6" t="s">
        <v>1398</v>
      </c>
      <c r="D108" s="7" t="s">
        <v>44</v>
      </c>
      <c r="E108" s="7" t="s">
        <v>456</v>
      </c>
      <c r="F108" s="7" t="s">
        <v>763</v>
      </c>
    </row>
    <row r="110" ht="12.75">
      <c r="B110" s="6"/>
    </row>
    <row r="111" ht="12.75">
      <c r="B111" s="6"/>
    </row>
    <row r="112" ht="12.75">
      <c r="B112" s="6"/>
    </row>
  </sheetData>
  <sheetProtection/>
  <mergeCells count="31">
    <mergeCell ref="T3:T4"/>
    <mergeCell ref="A19:U19"/>
    <mergeCell ref="A86:U86"/>
    <mergeCell ref="B3:B4"/>
    <mergeCell ref="A45:U45"/>
    <mergeCell ref="A51:U51"/>
    <mergeCell ref="A55:U55"/>
    <mergeCell ref="A66:U66"/>
    <mergeCell ref="A75:U75"/>
    <mergeCell ref="A79:U79"/>
    <mergeCell ref="A39:U39"/>
    <mergeCell ref="L3:O3"/>
    <mergeCell ref="A23:U23"/>
    <mergeCell ref="P3:S3"/>
    <mergeCell ref="A37:U37"/>
    <mergeCell ref="A27:U27"/>
    <mergeCell ref="A31:U31"/>
    <mergeCell ref="A34:U34"/>
    <mergeCell ref="A5:U5"/>
    <mergeCell ref="A8:U8"/>
    <mergeCell ref="A12:U12"/>
    <mergeCell ref="V3:V4"/>
    <mergeCell ref="F3:F4"/>
    <mergeCell ref="U3:U4"/>
    <mergeCell ref="G3:G4"/>
    <mergeCell ref="H3:K3"/>
    <mergeCell ref="A1:V2"/>
    <mergeCell ref="A3:A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1">
      <selection activeCell="B71" sqref="B71"/>
    </sheetView>
  </sheetViews>
  <sheetFormatPr defaultColWidth="11.00390625" defaultRowHeight="12.75"/>
  <cols>
    <col min="1" max="1" width="7.375" style="7" bestFit="1" customWidth="1"/>
    <col min="2" max="2" width="25.125" style="7" customWidth="1"/>
    <col min="3" max="3" width="28.25390625" style="6" bestFit="1" customWidth="1"/>
    <col min="4" max="4" width="18.25390625" style="6" customWidth="1"/>
    <col min="5" max="5" width="10.625" style="6" bestFit="1" customWidth="1"/>
    <col min="6" max="6" width="27.625" style="6" bestFit="1" customWidth="1"/>
    <col min="7" max="7" width="39.00390625" style="6" bestFit="1" customWidth="1"/>
    <col min="8" max="10" width="5.625" style="7" bestFit="1" customWidth="1"/>
    <col min="11" max="11" width="4.25390625" style="7" customWidth="1"/>
    <col min="12" max="14" width="5.625" style="7" bestFit="1" customWidth="1"/>
    <col min="15" max="15" width="4.875" style="7" bestFit="1" customWidth="1"/>
    <col min="16" max="18" width="5.625" style="7" bestFit="1" customWidth="1"/>
    <col min="19" max="19" width="4.875" style="7" bestFit="1" customWidth="1"/>
    <col min="20" max="20" width="7.875" style="7" bestFit="1" customWidth="1"/>
    <col min="21" max="21" width="8.625" style="7" bestFit="1" customWidth="1"/>
    <col min="22" max="22" width="28.00390625" style="6" bestFit="1" customWidth="1"/>
    <col min="23" max="16384" width="9.125" style="1" customWidth="1"/>
  </cols>
  <sheetData>
    <row r="1" spans="1:22" ht="28.5" customHeight="1">
      <c r="A1" s="114" t="s">
        <v>1587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</row>
    <row r="2" spans="1:22" ht="61.5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2" s="2" customFormat="1" ht="12.75" customHeight="1">
      <c r="A3" s="121" t="s">
        <v>1132</v>
      </c>
      <c r="B3" s="126" t="s">
        <v>1133</v>
      </c>
      <c r="C3" s="123" t="s">
        <v>1136</v>
      </c>
      <c r="D3" s="123" t="s">
        <v>1137</v>
      </c>
      <c r="E3" s="112" t="s">
        <v>0</v>
      </c>
      <c r="F3" s="112" t="s">
        <v>1139</v>
      </c>
      <c r="G3" s="112" t="s">
        <v>1140</v>
      </c>
      <c r="H3" s="112" t="s">
        <v>1141</v>
      </c>
      <c r="I3" s="112"/>
      <c r="J3" s="112"/>
      <c r="K3" s="112"/>
      <c r="L3" s="112" t="s">
        <v>1142</v>
      </c>
      <c r="M3" s="112"/>
      <c r="N3" s="112"/>
      <c r="O3" s="112"/>
      <c r="P3" s="112" t="s">
        <v>1143</v>
      </c>
      <c r="Q3" s="112"/>
      <c r="R3" s="112"/>
      <c r="S3" s="112"/>
      <c r="T3" s="112" t="s">
        <v>1144</v>
      </c>
      <c r="U3" s="112" t="s">
        <v>1146</v>
      </c>
      <c r="V3" s="110" t="s">
        <v>1147</v>
      </c>
    </row>
    <row r="4" spans="1:22" s="2" customFormat="1" ht="21" customHeight="1" thickBot="1">
      <c r="A4" s="122"/>
      <c r="B4" s="127"/>
      <c r="C4" s="113"/>
      <c r="D4" s="113"/>
      <c r="E4" s="113"/>
      <c r="F4" s="113"/>
      <c r="G4" s="113"/>
      <c r="H4" s="3">
        <v>1</v>
      </c>
      <c r="I4" s="3">
        <v>2</v>
      </c>
      <c r="J4" s="3">
        <v>3</v>
      </c>
      <c r="K4" s="3" t="s">
        <v>1518</v>
      </c>
      <c r="L4" s="3">
        <v>1</v>
      </c>
      <c r="M4" s="3">
        <v>2</v>
      </c>
      <c r="N4" s="3">
        <v>3</v>
      </c>
      <c r="O4" s="3" t="s">
        <v>1518</v>
      </c>
      <c r="P4" s="3">
        <v>1</v>
      </c>
      <c r="Q4" s="3">
        <v>2</v>
      </c>
      <c r="R4" s="3">
        <v>3</v>
      </c>
      <c r="S4" s="3" t="s">
        <v>1518</v>
      </c>
      <c r="T4" s="113"/>
      <c r="U4" s="113"/>
      <c r="V4" s="111"/>
    </row>
    <row r="5" spans="1:21" ht="15">
      <c r="A5" s="125" t="s">
        <v>1151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2" ht="12.75">
      <c r="A6" s="8" t="s">
        <v>217</v>
      </c>
      <c r="B6" s="8" t="s">
        <v>644</v>
      </c>
      <c r="C6" s="9" t="s">
        <v>1194</v>
      </c>
      <c r="D6" s="9" t="s">
        <v>645</v>
      </c>
      <c r="E6" s="9" t="str">
        <f>"1,1509"</f>
        <v>1,1509</v>
      </c>
      <c r="F6" s="9" t="s">
        <v>861</v>
      </c>
      <c r="G6" s="9" t="s">
        <v>1531</v>
      </c>
      <c r="H6" s="10" t="s">
        <v>3</v>
      </c>
      <c r="I6" s="10" t="s">
        <v>58</v>
      </c>
      <c r="J6" s="10" t="s">
        <v>4</v>
      </c>
      <c r="K6" s="8"/>
      <c r="L6" s="10" t="s">
        <v>5</v>
      </c>
      <c r="M6" s="11" t="s">
        <v>6</v>
      </c>
      <c r="N6" s="11" t="s">
        <v>6</v>
      </c>
      <c r="O6" s="8"/>
      <c r="P6" s="10" t="s">
        <v>4</v>
      </c>
      <c r="Q6" s="10" t="s">
        <v>7</v>
      </c>
      <c r="R6" s="10" t="s">
        <v>8</v>
      </c>
      <c r="S6" s="8"/>
      <c r="T6" s="8" t="str">
        <f>"205,0"</f>
        <v>205,0</v>
      </c>
      <c r="U6" s="8" t="str">
        <f>"235,9345"</f>
        <v>235,9345</v>
      </c>
      <c r="V6" s="9" t="s">
        <v>863</v>
      </c>
    </row>
    <row r="7" ht="12.75">
      <c r="B7" s="7" t="s">
        <v>218</v>
      </c>
    </row>
    <row r="8" spans="1:21" ht="15">
      <c r="A8" s="124" t="s">
        <v>1153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spans="1:22" ht="12.75">
      <c r="A9" s="13" t="s">
        <v>217</v>
      </c>
      <c r="B9" s="13" t="s">
        <v>646</v>
      </c>
      <c r="C9" s="14" t="s">
        <v>1195</v>
      </c>
      <c r="D9" s="14" t="s">
        <v>647</v>
      </c>
      <c r="E9" s="14" t="str">
        <f>"1,0100"</f>
        <v>1,0100</v>
      </c>
      <c r="F9" s="14" t="s">
        <v>862</v>
      </c>
      <c r="G9" s="14" t="s">
        <v>1567</v>
      </c>
      <c r="H9" s="16" t="s">
        <v>250</v>
      </c>
      <c r="I9" s="16" t="s">
        <v>34</v>
      </c>
      <c r="J9" s="16" t="s">
        <v>285</v>
      </c>
      <c r="K9" s="13"/>
      <c r="L9" s="16" t="s">
        <v>53</v>
      </c>
      <c r="M9" s="16" t="s">
        <v>229</v>
      </c>
      <c r="N9" s="15" t="s">
        <v>3</v>
      </c>
      <c r="O9" s="13"/>
      <c r="P9" s="16" t="s">
        <v>28</v>
      </c>
      <c r="Q9" s="16" t="s">
        <v>35</v>
      </c>
      <c r="R9" s="15" t="s">
        <v>29</v>
      </c>
      <c r="S9" s="13"/>
      <c r="T9" s="13" t="str">
        <f>"332,5"</f>
        <v>332,5</v>
      </c>
      <c r="U9" s="13" t="str">
        <f>"335,8250"</f>
        <v>335,8250</v>
      </c>
      <c r="V9" s="14" t="s">
        <v>648</v>
      </c>
    </row>
    <row r="10" spans="1:22" ht="12.75">
      <c r="A10" s="17" t="s">
        <v>219</v>
      </c>
      <c r="B10" s="17" t="s">
        <v>649</v>
      </c>
      <c r="C10" s="18" t="s">
        <v>1196</v>
      </c>
      <c r="D10" s="18" t="s">
        <v>650</v>
      </c>
      <c r="E10" s="18" t="str">
        <f>"0,9638"</f>
        <v>0,9638</v>
      </c>
      <c r="F10" s="18" t="s">
        <v>1681</v>
      </c>
      <c r="G10" s="18" t="s">
        <v>860</v>
      </c>
      <c r="H10" s="23" t="s">
        <v>17</v>
      </c>
      <c r="I10" s="23" t="s">
        <v>18</v>
      </c>
      <c r="J10" s="24" t="s">
        <v>76</v>
      </c>
      <c r="K10" s="17"/>
      <c r="L10" s="17" t="s">
        <v>13</v>
      </c>
      <c r="M10" s="17"/>
      <c r="N10" s="17"/>
      <c r="O10" s="17"/>
      <c r="P10" s="17"/>
      <c r="Q10" s="17"/>
      <c r="R10" s="17"/>
      <c r="S10" s="17"/>
      <c r="T10" s="17" t="str">
        <f>"0,0"</f>
        <v>0,0</v>
      </c>
      <c r="U10" s="17" t="str">
        <f>"0,0000"</f>
        <v>0,0000</v>
      </c>
      <c r="V10" s="18" t="s">
        <v>651</v>
      </c>
    </row>
    <row r="11" ht="12.75">
      <c r="B11" s="7" t="s">
        <v>218</v>
      </c>
    </row>
    <row r="12" spans="1:21" ht="15">
      <c r="A12" s="124" t="s">
        <v>1152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</row>
    <row r="13" spans="1:22" ht="12.75">
      <c r="A13" s="13" t="s">
        <v>217</v>
      </c>
      <c r="B13" s="13" t="s">
        <v>601</v>
      </c>
      <c r="C13" s="14" t="s">
        <v>1457</v>
      </c>
      <c r="D13" s="14" t="s">
        <v>309</v>
      </c>
      <c r="E13" s="14" t="str">
        <f>"0,7911"</f>
        <v>0,7911</v>
      </c>
      <c r="F13" s="14" t="s">
        <v>1538</v>
      </c>
      <c r="G13" s="14" t="s">
        <v>1682</v>
      </c>
      <c r="H13" s="16" t="s">
        <v>30</v>
      </c>
      <c r="I13" s="15" t="s">
        <v>17</v>
      </c>
      <c r="J13" s="16" t="s">
        <v>17</v>
      </c>
      <c r="K13" s="13"/>
      <c r="L13" s="16" t="s">
        <v>3</v>
      </c>
      <c r="M13" s="16" t="s">
        <v>4</v>
      </c>
      <c r="N13" s="16" t="s">
        <v>8</v>
      </c>
      <c r="O13" s="13"/>
      <c r="P13" s="16" t="s">
        <v>76</v>
      </c>
      <c r="Q13" s="16" t="s">
        <v>65</v>
      </c>
      <c r="R13" s="16" t="s">
        <v>63</v>
      </c>
      <c r="S13" s="13"/>
      <c r="T13" s="13" t="str">
        <f>"470,0"</f>
        <v>470,0</v>
      </c>
      <c r="U13" s="13" t="str">
        <f>"371,8170"</f>
        <v>371,8170</v>
      </c>
      <c r="V13" s="14" t="s">
        <v>602</v>
      </c>
    </row>
    <row r="14" spans="1:22" ht="12.75">
      <c r="A14" s="19" t="s">
        <v>217</v>
      </c>
      <c r="B14" s="19" t="s">
        <v>601</v>
      </c>
      <c r="C14" s="20" t="s">
        <v>1197</v>
      </c>
      <c r="D14" s="20" t="s">
        <v>309</v>
      </c>
      <c r="E14" s="20" t="str">
        <f>"0,7911"</f>
        <v>0,7911</v>
      </c>
      <c r="F14" s="20" t="s">
        <v>1538</v>
      </c>
      <c r="G14" s="20" t="s">
        <v>1682</v>
      </c>
      <c r="H14" s="21" t="s">
        <v>30</v>
      </c>
      <c r="I14" s="22" t="s">
        <v>17</v>
      </c>
      <c r="J14" s="21" t="s">
        <v>17</v>
      </c>
      <c r="K14" s="19"/>
      <c r="L14" s="21" t="s">
        <v>3</v>
      </c>
      <c r="M14" s="21" t="s">
        <v>4</v>
      </c>
      <c r="N14" s="21" t="s">
        <v>8</v>
      </c>
      <c r="O14" s="19"/>
      <c r="P14" s="21" t="s">
        <v>76</v>
      </c>
      <c r="Q14" s="21" t="s">
        <v>65</v>
      </c>
      <c r="R14" s="21" t="s">
        <v>63</v>
      </c>
      <c r="S14" s="19"/>
      <c r="T14" s="19" t="str">
        <f>"470,0"</f>
        <v>470,0</v>
      </c>
      <c r="U14" s="19" t="str">
        <f>"371,8170"</f>
        <v>371,8170</v>
      </c>
      <c r="V14" s="20" t="s">
        <v>602</v>
      </c>
    </row>
    <row r="15" spans="1:22" ht="12.75">
      <c r="A15" s="17" t="s">
        <v>220</v>
      </c>
      <c r="B15" s="17" t="s">
        <v>652</v>
      </c>
      <c r="C15" s="18" t="s">
        <v>1198</v>
      </c>
      <c r="D15" s="18" t="s">
        <v>653</v>
      </c>
      <c r="E15" s="18" t="str">
        <f>"0,7881"</f>
        <v>0,7881</v>
      </c>
      <c r="F15" s="18" t="s">
        <v>861</v>
      </c>
      <c r="G15" s="18" t="s">
        <v>1531</v>
      </c>
      <c r="H15" s="23" t="s">
        <v>21</v>
      </c>
      <c r="I15" s="23" t="s">
        <v>39</v>
      </c>
      <c r="J15" s="23" t="s">
        <v>12</v>
      </c>
      <c r="K15" s="17"/>
      <c r="L15" s="23" t="s">
        <v>4</v>
      </c>
      <c r="M15" s="23" t="s">
        <v>7</v>
      </c>
      <c r="N15" s="24" t="s">
        <v>8</v>
      </c>
      <c r="O15" s="17"/>
      <c r="P15" s="23" t="s">
        <v>30</v>
      </c>
      <c r="Q15" s="23" t="s">
        <v>23</v>
      </c>
      <c r="R15" s="23" t="s">
        <v>18</v>
      </c>
      <c r="S15" s="17"/>
      <c r="T15" s="17" t="str">
        <f>"365,0"</f>
        <v>365,0</v>
      </c>
      <c r="U15" s="17" t="str">
        <f>"287,6565"</f>
        <v>287,6565</v>
      </c>
      <c r="V15" s="18" t="s">
        <v>9</v>
      </c>
    </row>
    <row r="16" ht="12.75">
      <c r="B16" s="7" t="s">
        <v>218</v>
      </c>
    </row>
    <row r="17" spans="1:21" ht="15">
      <c r="A17" s="124" t="s">
        <v>1153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1:22" ht="12.75">
      <c r="A18" s="8" t="s">
        <v>219</v>
      </c>
      <c r="B18" s="8" t="s">
        <v>654</v>
      </c>
      <c r="C18" s="9" t="s">
        <v>1199</v>
      </c>
      <c r="D18" s="9" t="s">
        <v>655</v>
      </c>
      <c r="E18" s="9" t="str">
        <f>"0,7330"</f>
        <v>0,7330</v>
      </c>
      <c r="F18" s="9" t="s">
        <v>1522</v>
      </c>
      <c r="G18" s="9" t="s">
        <v>1588</v>
      </c>
      <c r="H18" s="8" t="s">
        <v>13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 t="str">
        <f>"0,0"</f>
        <v>0,0</v>
      </c>
      <c r="U18" s="8" t="str">
        <f>"0,0000"</f>
        <v>0,0000</v>
      </c>
      <c r="V18" s="9" t="s">
        <v>864</v>
      </c>
    </row>
    <row r="19" ht="12.75">
      <c r="B19" s="7" t="s">
        <v>218</v>
      </c>
    </row>
    <row r="20" spans="1:21" ht="15">
      <c r="A20" s="124" t="s">
        <v>1154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</row>
    <row r="21" spans="1:22" ht="12.75">
      <c r="A21" s="8" t="s">
        <v>217</v>
      </c>
      <c r="B21" s="8" t="s">
        <v>475</v>
      </c>
      <c r="C21" s="9" t="s">
        <v>1458</v>
      </c>
      <c r="D21" s="9" t="s">
        <v>476</v>
      </c>
      <c r="E21" s="9" t="str">
        <f>"0,6816"</f>
        <v>0,6816</v>
      </c>
      <c r="F21" s="9" t="s">
        <v>1522</v>
      </c>
      <c r="G21" s="9" t="s">
        <v>1589</v>
      </c>
      <c r="H21" s="10" t="s">
        <v>190</v>
      </c>
      <c r="I21" s="10" t="s">
        <v>91</v>
      </c>
      <c r="J21" s="10" t="s">
        <v>63</v>
      </c>
      <c r="K21" s="8"/>
      <c r="L21" s="10" t="s">
        <v>76</v>
      </c>
      <c r="M21" s="10" t="s">
        <v>64</v>
      </c>
      <c r="N21" s="11" t="s">
        <v>528</v>
      </c>
      <c r="O21" s="8"/>
      <c r="P21" s="10" t="s">
        <v>65</v>
      </c>
      <c r="Q21" s="10" t="s">
        <v>63</v>
      </c>
      <c r="R21" s="10" t="s">
        <v>104</v>
      </c>
      <c r="S21" s="8"/>
      <c r="T21" s="8" t="str">
        <f>"650,0"</f>
        <v>650,0</v>
      </c>
      <c r="U21" s="8" t="str">
        <f>"443,0400"</f>
        <v>443,0400</v>
      </c>
      <c r="V21" s="9" t="s">
        <v>41</v>
      </c>
    </row>
    <row r="22" ht="12.75">
      <c r="B22" s="7" t="s">
        <v>218</v>
      </c>
    </row>
    <row r="23" spans="1:21" ht="15">
      <c r="A23" s="124" t="s">
        <v>1156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</row>
    <row r="24" spans="1:22" ht="12.75">
      <c r="A24" s="13" t="s">
        <v>219</v>
      </c>
      <c r="B24" s="13" t="s">
        <v>656</v>
      </c>
      <c r="C24" s="14" t="s">
        <v>1459</v>
      </c>
      <c r="D24" s="14" t="s">
        <v>537</v>
      </c>
      <c r="E24" s="14" t="str">
        <f>"0,6436"</f>
        <v>0,6436</v>
      </c>
      <c r="F24" s="14" t="s">
        <v>1522</v>
      </c>
      <c r="G24" s="14" t="s">
        <v>1588</v>
      </c>
      <c r="H24" s="13" t="s">
        <v>13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tr">
        <f>"0,0"</f>
        <v>0,0</v>
      </c>
      <c r="U24" s="13" t="str">
        <f>"0,0000"</f>
        <v>0,0000</v>
      </c>
      <c r="V24" s="14" t="s">
        <v>657</v>
      </c>
    </row>
    <row r="25" spans="1:22" ht="12.75">
      <c r="A25" s="19" t="s">
        <v>217</v>
      </c>
      <c r="B25" s="19" t="s">
        <v>603</v>
      </c>
      <c r="C25" s="20" t="s">
        <v>1481</v>
      </c>
      <c r="D25" s="20" t="s">
        <v>604</v>
      </c>
      <c r="E25" s="20" t="str">
        <f>"0,6444"</f>
        <v>0,6444</v>
      </c>
      <c r="F25" s="20" t="s">
        <v>1540</v>
      </c>
      <c r="G25" s="20" t="s">
        <v>1682</v>
      </c>
      <c r="H25" s="21" t="s">
        <v>63</v>
      </c>
      <c r="I25" s="22" t="s">
        <v>83</v>
      </c>
      <c r="J25" s="21" t="s">
        <v>83</v>
      </c>
      <c r="K25" s="19"/>
      <c r="L25" s="21" t="s">
        <v>30</v>
      </c>
      <c r="M25" s="21" t="s">
        <v>22</v>
      </c>
      <c r="N25" s="21" t="s">
        <v>49</v>
      </c>
      <c r="O25" s="19"/>
      <c r="P25" s="21" t="s">
        <v>105</v>
      </c>
      <c r="Q25" s="21" t="s">
        <v>135</v>
      </c>
      <c r="R25" s="21" t="s">
        <v>401</v>
      </c>
      <c r="S25" s="19"/>
      <c r="T25" s="19" t="str">
        <f>"677,5"</f>
        <v>677,5</v>
      </c>
      <c r="U25" s="19" t="str">
        <f>"436,5810"</f>
        <v>436,5810</v>
      </c>
      <c r="V25" s="20" t="s">
        <v>602</v>
      </c>
    </row>
    <row r="26" spans="1:22" ht="12.75">
      <c r="A26" s="19" t="s">
        <v>220</v>
      </c>
      <c r="B26" s="19" t="s">
        <v>658</v>
      </c>
      <c r="C26" s="20" t="s">
        <v>1482</v>
      </c>
      <c r="D26" s="20" t="s">
        <v>359</v>
      </c>
      <c r="E26" s="20" t="str">
        <f>"0,6432"</f>
        <v>0,6432</v>
      </c>
      <c r="F26" s="20" t="s">
        <v>1522</v>
      </c>
      <c r="G26" s="20" t="s">
        <v>1590</v>
      </c>
      <c r="H26" s="21" t="s">
        <v>76</v>
      </c>
      <c r="I26" s="21" t="s">
        <v>65</v>
      </c>
      <c r="J26" s="21" t="s">
        <v>63</v>
      </c>
      <c r="K26" s="19"/>
      <c r="L26" s="21" t="s">
        <v>29</v>
      </c>
      <c r="M26" s="21" t="s">
        <v>22</v>
      </c>
      <c r="N26" s="22" t="s">
        <v>17</v>
      </c>
      <c r="O26" s="19"/>
      <c r="P26" s="22" t="s">
        <v>115</v>
      </c>
      <c r="Q26" s="21" t="s">
        <v>97</v>
      </c>
      <c r="R26" s="22" t="s">
        <v>98</v>
      </c>
      <c r="S26" s="19"/>
      <c r="T26" s="19" t="str">
        <f>"627,5"</f>
        <v>627,5</v>
      </c>
      <c r="U26" s="19" t="str">
        <f>"403,6080"</f>
        <v>403,6080</v>
      </c>
      <c r="V26" s="20" t="s">
        <v>41</v>
      </c>
    </row>
    <row r="27" spans="1:22" ht="12.75">
      <c r="A27" s="19" t="s">
        <v>221</v>
      </c>
      <c r="B27" s="19" t="s">
        <v>659</v>
      </c>
      <c r="C27" s="20" t="s">
        <v>1483</v>
      </c>
      <c r="D27" s="20" t="s">
        <v>660</v>
      </c>
      <c r="E27" s="20" t="str">
        <f>"0,6440"</f>
        <v>0,6440</v>
      </c>
      <c r="F27" s="20" t="s">
        <v>1522</v>
      </c>
      <c r="G27" s="20" t="s">
        <v>1567</v>
      </c>
      <c r="H27" s="21" t="s">
        <v>64</v>
      </c>
      <c r="I27" s="21" t="s">
        <v>91</v>
      </c>
      <c r="J27" s="21" t="s">
        <v>84</v>
      </c>
      <c r="K27" s="19"/>
      <c r="L27" s="21" t="s">
        <v>28</v>
      </c>
      <c r="M27" s="21" t="s">
        <v>29</v>
      </c>
      <c r="N27" s="21" t="s">
        <v>22</v>
      </c>
      <c r="O27" s="19"/>
      <c r="P27" s="21" t="s">
        <v>84</v>
      </c>
      <c r="Q27" s="21" t="s">
        <v>83</v>
      </c>
      <c r="R27" s="22" t="s">
        <v>120</v>
      </c>
      <c r="S27" s="19"/>
      <c r="T27" s="19" t="str">
        <f>"600,0"</f>
        <v>600,0</v>
      </c>
      <c r="U27" s="19" t="str">
        <f>"386,4000"</f>
        <v>386,4000</v>
      </c>
      <c r="V27" s="20" t="s">
        <v>41</v>
      </c>
    </row>
    <row r="28" spans="1:22" ht="12.75">
      <c r="A28" s="19" t="s">
        <v>217</v>
      </c>
      <c r="B28" s="19" t="s">
        <v>605</v>
      </c>
      <c r="C28" s="20" t="s">
        <v>1200</v>
      </c>
      <c r="D28" s="20" t="s">
        <v>363</v>
      </c>
      <c r="E28" s="20" t="str">
        <f>"0,6553"</f>
        <v>0,6553</v>
      </c>
      <c r="F28" s="20" t="s">
        <v>1522</v>
      </c>
      <c r="G28" s="20" t="s">
        <v>1591</v>
      </c>
      <c r="H28" s="21" t="s">
        <v>104</v>
      </c>
      <c r="I28" s="21" t="s">
        <v>124</v>
      </c>
      <c r="J28" s="21" t="s">
        <v>173</v>
      </c>
      <c r="K28" s="19"/>
      <c r="L28" s="21" t="s">
        <v>23</v>
      </c>
      <c r="M28" s="21" t="s">
        <v>76</v>
      </c>
      <c r="N28" s="21" t="s">
        <v>72</v>
      </c>
      <c r="O28" s="19"/>
      <c r="P28" s="21" t="s">
        <v>106</v>
      </c>
      <c r="Q28" s="21" t="s">
        <v>170</v>
      </c>
      <c r="R28" s="22" t="s">
        <v>425</v>
      </c>
      <c r="S28" s="19"/>
      <c r="T28" s="19" t="str">
        <f>"727,5"</f>
        <v>727,5</v>
      </c>
      <c r="U28" s="19" t="str">
        <f>"476,7308"</f>
        <v>476,7308</v>
      </c>
      <c r="V28" s="20" t="s">
        <v>865</v>
      </c>
    </row>
    <row r="29" spans="1:22" ht="12.75">
      <c r="A29" s="19" t="s">
        <v>220</v>
      </c>
      <c r="B29" s="19" t="s">
        <v>661</v>
      </c>
      <c r="C29" s="20" t="s">
        <v>1201</v>
      </c>
      <c r="D29" s="20" t="s">
        <v>662</v>
      </c>
      <c r="E29" s="20" t="str">
        <f>"0,6459"</f>
        <v>0,6459</v>
      </c>
      <c r="F29" s="20" t="s">
        <v>1522</v>
      </c>
      <c r="G29" s="20" t="s">
        <v>1567</v>
      </c>
      <c r="H29" s="21" t="s">
        <v>104</v>
      </c>
      <c r="I29" s="21" t="s">
        <v>173</v>
      </c>
      <c r="J29" s="22" t="s">
        <v>105</v>
      </c>
      <c r="K29" s="19"/>
      <c r="L29" s="21" t="s">
        <v>55</v>
      </c>
      <c r="M29" s="21" t="s">
        <v>70</v>
      </c>
      <c r="N29" s="21" t="s">
        <v>527</v>
      </c>
      <c r="O29" s="19"/>
      <c r="P29" s="21" t="s">
        <v>106</v>
      </c>
      <c r="Q29" s="22" t="s">
        <v>401</v>
      </c>
      <c r="R29" s="22" t="s">
        <v>586</v>
      </c>
      <c r="S29" s="19"/>
      <c r="T29" s="19" t="str">
        <f>"717,5"</f>
        <v>717,5</v>
      </c>
      <c r="U29" s="19" t="str">
        <f>"463,4333"</f>
        <v>463,4333</v>
      </c>
      <c r="V29" s="20" t="s">
        <v>41</v>
      </c>
    </row>
    <row r="30" spans="1:22" ht="12.75">
      <c r="A30" s="19" t="s">
        <v>221</v>
      </c>
      <c r="B30" s="19" t="s">
        <v>606</v>
      </c>
      <c r="C30" s="20" t="s">
        <v>1202</v>
      </c>
      <c r="D30" s="20" t="s">
        <v>607</v>
      </c>
      <c r="E30" s="20" t="str">
        <f>"0,6406"</f>
        <v>0,6406</v>
      </c>
      <c r="F30" s="20" t="s">
        <v>1522</v>
      </c>
      <c r="G30" s="20" t="s">
        <v>1592</v>
      </c>
      <c r="H30" s="21" t="s">
        <v>91</v>
      </c>
      <c r="I30" s="21" t="s">
        <v>84</v>
      </c>
      <c r="J30" s="22" t="s">
        <v>128</v>
      </c>
      <c r="K30" s="19"/>
      <c r="L30" s="21" t="s">
        <v>23</v>
      </c>
      <c r="M30" s="21" t="s">
        <v>55</v>
      </c>
      <c r="N30" s="21" t="s">
        <v>72</v>
      </c>
      <c r="O30" s="19"/>
      <c r="P30" s="22" t="s">
        <v>124</v>
      </c>
      <c r="Q30" s="21" t="s">
        <v>125</v>
      </c>
      <c r="R30" s="22" t="s">
        <v>135</v>
      </c>
      <c r="S30" s="19"/>
      <c r="T30" s="19" t="str">
        <f>"662,5"</f>
        <v>662,5</v>
      </c>
      <c r="U30" s="19" t="str">
        <f>"424,3975"</f>
        <v>424,3975</v>
      </c>
      <c r="V30" s="20" t="s">
        <v>663</v>
      </c>
    </row>
    <row r="31" spans="1:22" ht="12.75">
      <c r="A31" s="17" t="s">
        <v>217</v>
      </c>
      <c r="B31" s="17" t="s">
        <v>181</v>
      </c>
      <c r="C31" s="18" t="s">
        <v>1389</v>
      </c>
      <c r="D31" s="18" t="s">
        <v>359</v>
      </c>
      <c r="E31" s="18" t="str">
        <f>"0,6432"</f>
        <v>0,6432</v>
      </c>
      <c r="F31" s="18" t="s">
        <v>1538</v>
      </c>
      <c r="G31" s="18" t="s">
        <v>1683</v>
      </c>
      <c r="H31" s="23" t="s">
        <v>18</v>
      </c>
      <c r="I31" s="23" t="s">
        <v>76</v>
      </c>
      <c r="J31" s="17"/>
      <c r="K31" s="17"/>
      <c r="L31" s="23" t="s">
        <v>29</v>
      </c>
      <c r="M31" s="23" t="s">
        <v>22</v>
      </c>
      <c r="N31" s="17"/>
      <c r="O31" s="17"/>
      <c r="P31" s="23" t="s">
        <v>66</v>
      </c>
      <c r="Q31" s="23" t="s">
        <v>63</v>
      </c>
      <c r="R31" s="17"/>
      <c r="S31" s="17"/>
      <c r="T31" s="17" t="str">
        <f>"555,0"</f>
        <v>555,0</v>
      </c>
      <c r="U31" s="17" t="str">
        <f>"404,0968"</f>
        <v>404,0968</v>
      </c>
      <c r="V31" s="18" t="s">
        <v>41</v>
      </c>
    </row>
    <row r="32" ht="12.75">
      <c r="B32" s="7" t="s">
        <v>218</v>
      </c>
    </row>
    <row r="33" spans="1:21" ht="15">
      <c r="A33" s="124" t="s">
        <v>1157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2" ht="12.75">
      <c r="A34" s="13" t="s">
        <v>217</v>
      </c>
      <c r="B34" s="13" t="s">
        <v>664</v>
      </c>
      <c r="C34" s="14" t="s">
        <v>1484</v>
      </c>
      <c r="D34" s="14" t="s">
        <v>592</v>
      </c>
      <c r="E34" s="14" t="str">
        <f>"0,6305"</f>
        <v>0,6305</v>
      </c>
      <c r="F34" s="14" t="s">
        <v>1522</v>
      </c>
      <c r="G34" s="14" t="s">
        <v>1593</v>
      </c>
      <c r="H34" s="16" t="s">
        <v>64</v>
      </c>
      <c r="I34" s="16" t="s">
        <v>66</v>
      </c>
      <c r="J34" s="15" t="s">
        <v>83</v>
      </c>
      <c r="K34" s="13"/>
      <c r="L34" s="16" t="s">
        <v>18</v>
      </c>
      <c r="M34" s="16" t="s">
        <v>76</v>
      </c>
      <c r="N34" s="16" t="s">
        <v>64</v>
      </c>
      <c r="O34" s="13"/>
      <c r="P34" s="16" t="s">
        <v>124</v>
      </c>
      <c r="Q34" s="16" t="s">
        <v>106</v>
      </c>
      <c r="R34" s="15" t="s">
        <v>121</v>
      </c>
      <c r="S34" s="13"/>
      <c r="T34" s="13" t="str">
        <f>"670,0"</f>
        <v>670,0</v>
      </c>
      <c r="U34" s="13" t="str">
        <f>"422,4350"</f>
        <v>422,4350</v>
      </c>
      <c r="V34" s="14" t="s">
        <v>484</v>
      </c>
    </row>
    <row r="35" spans="1:22" ht="12.75">
      <c r="A35" s="19" t="s">
        <v>217</v>
      </c>
      <c r="B35" s="19" t="s">
        <v>665</v>
      </c>
      <c r="C35" s="20" t="s">
        <v>1203</v>
      </c>
      <c r="D35" s="20" t="s">
        <v>540</v>
      </c>
      <c r="E35" s="20" t="str">
        <f>"0,6163"</f>
        <v>0,6163</v>
      </c>
      <c r="F35" s="20" t="s">
        <v>1522</v>
      </c>
      <c r="G35" s="20" t="s">
        <v>1594</v>
      </c>
      <c r="H35" s="21" t="s">
        <v>401</v>
      </c>
      <c r="I35" s="21" t="s">
        <v>155</v>
      </c>
      <c r="J35" s="21" t="s">
        <v>156</v>
      </c>
      <c r="K35" s="19"/>
      <c r="L35" s="21" t="s">
        <v>72</v>
      </c>
      <c r="M35" s="22" t="s">
        <v>163</v>
      </c>
      <c r="N35" s="21" t="s">
        <v>64</v>
      </c>
      <c r="O35" s="19"/>
      <c r="P35" s="21" t="s">
        <v>164</v>
      </c>
      <c r="Q35" s="22" t="s">
        <v>666</v>
      </c>
      <c r="R35" s="21" t="s">
        <v>161</v>
      </c>
      <c r="S35" s="19"/>
      <c r="T35" s="19" t="str">
        <f>"815,0"</f>
        <v>815,0</v>
      </c>
      <c r="U35" s="19" t="str">
        <f>"502,2845"</f>
        <v>502,2845</v>
      </c>
      <c r="V35" s="20" t="s">
        <v>41</v>
      </c>
    </row>
    <row r="36" spans="1:22" ht="12.75">
      <c r="A36" s="19" t="s">
        <v>220</v>
      </c>
      <c r="B36" s="19" t="s">
        <v>667</v>
      </c>
      <c r="C36" s="20" t="s">
        <v>1204</v>
      </c>
      <c r="D36" s="20" t="s">
        <v>546</v>
      </c>
      <c r="E36" s="20" t="str">
        <f>"0,6093"</f>
        <v>0,6093</v>
      </c>
      <c r="F36" s="20" t="s">
        <v>1522</v>
      </c>
      <c r="G36" s="20" t="s">
        <v>1529</v>
      </c>
      <c r="H36" s="21" t="s">
        <v>401</v>
      </c>
      <c r="I36" s="21" t="s">
        <v>155</v>
      </c>
      <c r="J36" s="21" t="s">
        <v>178</v>
      </c>
      <c r="K36" s="19"/>
      <c r="L36" s="21" t="s">
        <v>190</v>
      </c>
      <c r="M36" s="21" t="s">
        <v>91</v>
      </c>
      <c r="N36" s="19"/>
      <c r="O36" s="19"/>
      <c r="P36" s="21" t="s">
        <v>170</v>
      </c>
      <c r="Q36" s="21" t="s">
        <v>156</v>
      </c>
      <c r="R36" s="22" t="s">
        <v>157</v>
      </c>
      <c r="S36" s="19"/>
      <c r="T36" s="19" t="str">
        <f>"812,5"</f>
        <v>812,5</v>
      </c>
      <c r="U36" s="19" t="str">
        <f>"495,0563"</f>
        <v>495,0563</v>
      </c>
      <c r="V36" s="20" t="s">
        <v>668</v>
      </c>
    </row>
    <row r="37" spans="1:22" ht="12.75">
      <c r="A37" s="19" t="s">
        <v>221</v>
      </c>
      <c r="B37" s="19" t="s">
        <v>669</v>
      </c>
      <c r="C37" s="20" t="s">
        <v>1205</v>
      </c>
      <c r="D37" s="20" t="s">
        <v>550</v>
      </c>
      <c r="E37" s="20" t="str">
        <f>"0,6086"</f>
        <v>0,6086</v>
      </c>
      <c r="F37" s="20" t="s">
        <v>1522</v>
      </c>
      <c r="G37" s="20" t="s">
        <v>1595</v>
      </c>
      <c r="H37" s="21" t="s">
        <v>63</v>
      </c>
      <c r="I37" s="22" t="s">
        <v>83</v>
      </c>
      <c r="J37" s="22" t="s">
        <v>83</v>
      </c>
      <c r="K37" s="19"/>
      <c r="L37" s="21" t="s">
        <v>70</v>
      </c>
      <c r="M37" s="21" t="s">
        <v>64</v>
      </c>
      <c r="N37" s="21" t="s">
        <v>527</v>
      </c>
      <c r="O37" s="19"/>
      <c r="P37" s="22" t="s">
        <v>401</v>
      </c>
      <c r="Q37" s="22" t="s">
        <v>155</v>
      </c>
      <c r="R37" s="21" t="s">
        <v>164</v>
      </c>
      <c r="S37" s="19"/>
      <c r="T37" s="19" t="str">
        <f>"712,5"</f>
        <v>712,5</v>
      </c>
      <c r="U37" s="19" t="str">
        <f>"433,6275"</f>
        <v>433,6275</v>
      </c>
      <c r="V37" s="20" t="s">
        <v>41</v>
      </c>
    </row>
    <row r="38" spans="1:22" ht="12.75">
      <c r="A38" s="19" t="s">
        <v>222</v>
      </c>
      <c r="B38" s="19" t="s">
        <v>670</v>
      </c>
      <c r="C38" s="20" t="s">
        <v>1206</v>
      </c>
      <c r="D38" s="20" t="s">
        <v>551</v>
      </c>
      <c r="E38" s="20" t="str">
        <f>"0,6116"</f>
        <v>0,6116</v>
      </c>
      <c r="F38" s="20" t="s">
        <v>1522</v>
      </c>
      <c r="G38" s="20" t="s">
        <v>1596</v>
      </c>
      <c r="H38" s="21" t="s">
        <v>106</v>
      </c>
      <c r="I38" s="22" t="s">
        <v>170</v>
      </c>
      <c r="J38" s="22" t="s">
        <v>170</v>
      </c>
      <c r="K38" s="19"/>
      <c r="L38" s="21" t="s">
        <v>35</v>
      </c>
      <c r="M38" s="22" t="s">
        <v>17</v>
      </c>
      <c r="N38" s="21" t="s">
        <v>17</v>
      </c>
      <c r="O38" s="19"/>
      <c r="P38" s="21" t="s">
        <v>121</v>
      </c>
      <c r="Q38" s="22" t="s">
        <v>164</v>
      </c>
      <c r="R38" s="19"/>
      <c r="S38" s="19"/>
      <c r="T38" s="19" t="str">
        <f>"710,0"</f>
        <v>710,0</v>
      </c>
      <c r="U38" s="19" t="str">
        <f>"434,2360"</f>
        <v>434,2360</v>
      </c>
      <c r="V38" s="20" t="s">
        <v>41</v>
      </c>
    </row>
    <row r="39" spans="1:22" ht="12.75">
      <c r="A39" s="19" t="s">
        <v>223</v>
      </c>
      <c r="B39" s="19" t="s">
        <v>671</v>
      </c>
      <c r="C39" s="20" t="s">
        <v>1207</v>
      </c>
      <c r="D39" s="20" t="s">
        <v>553</v>
      </c>
      <c r="E39" s="20" t="str">
        <f>"0,6111"</f>
        <v>0,6111</v>
      </c>
      <c r="F39" s="20" t="s">
        <v>862</v>
      </c>
      <c r="G39" s="20" t="s">
        <v>1567</v>
      </c>
      <c r="H39" s="21" t="s">
        <v>30</v>
      </c>
      <c r="I39" s="19"/>
      <c r="J39" s="19"/>
      <c r="K39" s="19"/>
      <c r="L39" s="21" t="s">
        <v>24</v>
      </c>
      <c r="M39" s="21" t="s">
        <v>76</v>
      </c>
      <c r="N39" s="22" t="s">
        <v>70</v>
      </c>
      <c r="O39" s="19"/>
      <c r="P39" s="21" t="s">
        <v>401</v>
      </c>
      <c r="Q39" s="22" t="s">
        <v>164</v>
      </c>
      <c r="R39" s="22" t="s">
        <v>164</v>
      </c>
      <c r="S39" s="19"/>
      <c r="T39" s="19" t="str">
        <f>"615,0"</f>
        <v>615,0</v>
      </c>
      <c r="U39" s="19" t="str">
        <f>"375,8265"</f>
        <v>375,8265</v>
      </c>
      <c r="V39" s="20" t="s">
        <v>866</v>
      </c>
    </row>
    <row r="40" spans="1:22" ht="12.75">
      <c r="A40" s="19" t="s">
        <v>224</v>
      </c>
      <c r="B40" s="19" t="s">
        <v>672</v>
      </c>
      <c r="C40" s="20" t="s">
        <v>1208</v>
      </c>
      <c r="D40" s="20" t="s">
        <v>673</v>
      </c>
      <c r="E40" s="20" t="str">
        <f>"0,6155"</f>
        <v>0,6155</v>
      </c>
      <c r="F40" s="20" t="s">
        <v>1522</v>
      </c>
      <c r="G40" s="20" t="s">
        <v>1596</v>
      </c>
      <c r="H40" s="21" t="s">
        <v>17</v>
      </c>
      <c r="I40" s="21" t="s">
        <v>76</v>
      </c>
      <c r="J40" s="22" t="s">
        <v>65</v>
      </c>
      <c r="K40" s="19"/>
      <c r="L40" s="21" t="s">
        <v>12</v>
      </c>
      <c r="M40" s="22" t="s">
        <v>34</v>
      </c>
      <c r="N40" s="22" t="s">
        <v>34</v>
      </c>
      <c r="O40" s="19"/>
      <c r="P40" s="21" t="s">
        <v>18</v>
      </c>
      <c r="Q40" s="21" t="s">
        <v>64</v>
      </c>
      <c r="R40" s="21" t="s">
        <v>307</v>
      </c>
      <c r="S40" s="19"/>
      <c r="T40" s="19" t="str">
        <f>"497,5"</f>
        <v>497,5</v>
      </c>
      <c r="U40" s="19" t="str">
        <f>"306,2112"</f>
        <v>306,2112</v>
      </c>
      <c r="V40" s="20" t="s">
        <v>41</v>
      </c>
    </row>
    <row r="41" spans="1:22" ht="12.75">
      <c r="A41" s="19" t="s">
        <v>217</v>
      </c>
      <c r="B41" s="19" t="s">
        <v>674</v>
      </c>
      <c r="C41" s="20" t="s">
        <v>1400</v>
      </c>
      <c r="D41" s="20" t="s">
        <v>675</v>
      </c>
      <c r="E41" s="20" t="str">
        <f>"0,6088"</f>
        <v>0,6088</v>
      </c>
      <c r="F41" s="20" t="s">
        <v>1538</v>
      </c>
      <c r="G41" s="20" t="s">
        <v>1682</v>
      </c>
      <c r="H41" s="21" t="s">
        <v>83</v>
      </c>
      <c r="I41" s="22" t="s">
        <v>104</v>
      </c>
      <c r="J41" s="22" t="s">
        <v>104</v>
      </c>
      <c r="K41" s="19"/>
      <c r="L41" s="21" t="s">
        <v>17</v>
      </c>
      <c r="M41" s="21" t="s">
        <v>55</v>
      </c>
      <c r="N41" s="21" t="s">
        <v>76</v>
      </c>
      <c r="O41" s="19"/>
      <c r="P41" s="21" t="s">
        <v>104</v>
      </c>
      <c r="Q41" s="21" t="s">
        <v>124</v>
      </c>
      <c r="R41" s="22" t="s">
        <v>105</v>
      </c>
      <c r="S41" s="19"/>
      <c r="T41" s="19" t="str">
        <f>"660,0"</f>
        <v>660,0</v>
      </c>
      <c r="U41" s="19" t="str">
        <f>"403,8170"</f>
        <v>403,8170</v>
      </c>
      <c r="V41" s="20" t="s">
        <v>41</v>
      </c>
    </row>
    <row r="42" spans="1:22" ht="12.75">
      <c r="A42" s="19" t="s">
        <v>220</v>
      </c>
      <c r="B42" s="19" t="s">
        <v>676</v>
      </c>
      <c r="C42" s="20" t="s">
        <v>1401</v>
      </c>
      <c r="D42" s="20" t="s">
        <v>677</v>
      </c>
      <c r="E42" s="20" t="str">
        <f>"0,6238"</f>
        <v>0,6238</v>
      </c>
      <c r="F42" s="20" t="s">
        <v>1522</v>
      </c>
      <c r="G42" s="20" t="s">
        <v>1597</v>
      </c>
      <c r="H42" s="21" t="s">
        <v>76</v>
      </c>
      <c r="I42" s="21" t="s">
        <v>65</v>
      </c>
      <c r="J42" s="21" t="s">
        <v>63</v>
      </c>
      <c r="K42" s="19"/>
      <c r="L42" s="21" t="s">
        <v>18</v>
      </c>
      <c r="M42" s="21" t="s">
        <v>55</v>
      </c>
      <c r="N42" s="22" t="s">
        <v>76</v>
      </c>
      <c r="O42" s="19"/>
      <c r="P42" s="21" t="s">
        <v>63</v>
      </c>
      <c r="Q42" s="21" t="s">
        <v>104</v>
      </c>
      <c r="R42" s="22" t="s">
        <v>124</v>
      </c>
      <c r="S42" s="19"/>
      <c r="T42" s="19" t="str">
        <f>"635,0"</f>
        <v>635,0</v>
      </c>
      <c r="U42" s="19" t="str">
        <f>"419,8798"</f>
        <v>419,8798</v>
      </c>
      <c r="V42" s="20" t="s">
        <v>484</v>
      </c>
    </row>
    <row r="43" spans="1:22" ht="12.75">
      <c r="A43" s="17" t="s">
        <v>221</v>
      </c>
      <c r="B43" s="17" t="s">
        <v>678</v>
      </c>
      <c r="C43" s="18" t="s">
        <v>1402</v>
      </c>
      <c r="D43" s="18" t="s">
        <v>677</v>
      </c>
      <c r="E43" s="18" t="str">
        <f>"0,6238"</f>
        <v>0,6238</v>
      </c>
      <c r="F43" s="18" t="s">
        <v>1538</v>
      </c>
      <c r="G43" s="18" t="s">
        <v>1539</v>
      </c>
      <c r="H43" s="23" t="s">
        <v>35</v>
      </c>
      <c r="I43" s="24" t="s">
        <v>30</v>
      </c>
      <c r="J43" s="23" t="s">
        <v>30</v>
      </c>
      <c r="K43" s="17"/>
      <c r="L43" s="23" t="s">
        <v>28</v>
      </c>
      <c r="M43" s="24" t="s">
        <v>45</v>
      </c>
      <c r="N43" s="24" t="s">
        <v>45</v>
      </c>
      <c r="O43" s="17"/>
      <c r="P43" s="23" t="s">
        <v>66</v>
      </c>
      <c r="Q43" s="23" t="s">
        <v>63</v>
      </c>
      <c r="R43" s="23" t="s">
        <v>83</v>
      </c>
      <c r="S43" s="17"/>
      <c r="T43" s="17" t="str">
        <f>"510,0"</f>
        <v>510,0</v>
      </c>
      <c r="U43" s="17" t="str">
        <f>"332,1361"</f>
        <v>332,1361</v>
      </c>
      <c r="V43" s="18" t="s">
        <v>679</v>
      </c>
    </row>
    <row r="44" ht="12.75">
      <c r="B44" s="7" t="s">
        <v>218</v>
      </c>
    </row>
    <row r="45" spans="1:21" ht="15">
      <c r="A45" s="124" t="s">
        <v>1158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2" ht="12.75">
      <c r="A46" s="13" t="s">
        <v>217</v>
      </c>
      <c r="B46" s="13" t="s">
        <v>680</v>
      </c>
      <c r="C46" s="14" t="s">
        <v>1485</v>
      </c>
      <c r="D46" s="14" t="s">
        <v>411</v>
      </c>
      <c r="E46" s="14" t="str">
        <f>"0,5948"</f>
        <v>0,5948</v>
      </c>
      <c r="F46" s="14" t="s">
        <v>1522</v>
      </c>
      <c r="G46" s="14" t="s">
        <v>1598</v>
      </c>
      <c r="H46" s="16" t="s">
        <v>124</v>
      </c>
      <c r="I46" s="16" t="s">
        <v>106</v>
      </c>
      <c r="J46" s="16" t="s">
        <v>121</v>
      </c>
      <c r="K46" s="13"/>
      <c r="L46" s="16" t="s">
        <v>18</v>
      </c>
      <c r="M46" s="16" t="s">
        <v>70</v>
      </c>
      <c r="N46" s="16" t="s">
        <v>64</v>
      </c>
      <c r="O46" s="13"/>
      <c r="P46" s="16" t="s">
        <v>124</v>
      </c>
      <c r="Q46" s="16" t="s">
        <v>121</v>
      </c>
      <c r="R46" s="16" t="s">
        <v>170</v>
      </c>
      <c r="S46" s="13"/>
      <c r="T46" s="13" t="str">
        <f>"760,0"</f>
        <v>760,0</v>
      </c>
      <c r="U46" s="13" t="str">
        <f>"452,0480"</f>
        <v>452,0480</v>
      </c>
      <c r="V46" s="14" t="s">
        <v>41</v>
      </c>
    </row>
    <row r="47" spans="1:22" ht="12.75">
      <c r="A47" s="19" t="s">
        <v>219</v>
      </c>
      <c r="B47" s="19" t="s">
        <v>681</v>
      </c>
      <c r="C47" s="20" t="s">
        <v>1486</v>
      </c>
      <c r="D47" s="20" t="s">
        <v>627</v>
      </c>
      <c r="E47" s="20" t="str">
        <f>"0,5917"</f>
        <v>0,5917</v>
      </c>
      <c r="F47" s="20" t="s">
        <v>1538</v>
      </c>
      <c r="G47" s="20" t="s">
        <v>1539</v>
      </c>
      <c r="H47" s="21" t="s">
        <v>83</v>
      </c>
      <c r="I47" s="21" t="s">
        <v>124</v>
      </c>
      <c r="J47" s="22" t="s">
        <v>106</v>
      </c>
      <c r="K47" s="19"/>
      <c r="L47" s="21" t="s">
        <v>76</v>
      </c>
      <c r="M47" s="22" t="s">
        <v>527</v>
      </c>
      <c r="N47" s="19"/>
      <c r="O47" s="19"/>
      <c r="P47" s="22" t="s">
        <v>83</v>
      </c>
      <c r="Q47" s="19"/>
      <c r="R47" s="19"/>
      <c r="S47" s="19"/>
      <c r="T47" s="19" t="str">
        <f>"0,0"</f>
        <v>0,0</v>
      </c>
      <c r="U47" s="19" t="str">
        <f>"0,0000"</f>
        <v>0,0000</v>
      </c>
      <c r="V47" s="20" t="s">
        <v>41</v>
      </c>
    </row>
    <row r="48" spans="1:22" ht="12.75">
      <c r="A48" s="19" t="s">
        <v>217</v>
      </c>
      <c r="B48" s="19" t="s">
        <v>682</v>
      </c>
      <c r="C48" s="20" t="s">
        <v>1209</v>
      </c>
      <c r="D48" s="20" t="s">
        <v>556</v>
      </c>
      <c r="E48" s="20" t="str">
        <f>"0,5890"</f>
        <v>0,5890</v>
      </c>
      <c r="F48" s="20" t="s">
        <v>1540</v>
      </c>
      <c r="G48" s="20" t="s">
        <v>1682</v>
      </c>
      <c r="H48" s="21" t="s">
        <v>104</v>
      </c>
      <c r="I48" s="21" t="s">
        <v>105</v>
      </c>
      <c r="J48" s="21" t="s">
        <v>106</v>
      </c>
      <c r="K48" s="19"/>
      <c r="L48" s="21" t="s">
        <v>65</v>
      </c>
      <c r="M48" s="21" t="s">
        <v>158</v>
      </c>
      <c r="N48" s="22" t="s">
        <v>95</v>
      </c>
      <c r="O48" s="19"/>
      <c r="P48" s="22" t="s">
        <v>121</v>
      </c>
      <c r="Q48" s="21" t="s">
        <v>121</v>
      </c>
      <c r="R48" s="21" t="s">
        <v>164</v>
      </c>
      <c r="S48" s="19"/>
      <c r="T48" s="19" t="str">
        <f>"787,5"</f>
        <v>787,5</v>
      </c>
      <c r="U48" s="19" t="str">
        <f>"463,8375"</f>
        <v>463,8375</v>
      </c>
      <c r="V48" s="20" t="s">
        <v>602</v>
      </c>
    </row>
    <row r="49" spans="1:22" ht="12.75">
      <c r="A49" s="19" t="s">
        <v>220</v>
      </c>
      <c r="B49" s="19" t="s">
        <v>683</v>
      </c>
      <c r="C49" s="20" t="s">
        <v>1210</v>
      </c>
      <c r="D49" s="20" t="s">
        <v>684</v>
      </c>
      <c r="E49" s="20" t="str">
        <f>"0,5933"</f>
        <v>0,5933</v>
      </c>
      <c r="F49" s="20" t="s">
        <v>1522</v>
      </c>
      <c r="G49" s="20" t="s">
        <v>1567</v>
      </c>
      <c r="H49" s="21" t="s">
        <v>104</v>
      </c>
      <c r="I49" s="21" t="s">
        <v>124</v>
      </c>
      <c r="J49" s="21" t="s">
        <v>105</v>
      </c>
      <c r="K49" s="19"/>
      <c r="L49" s="21" t="s">
        <v>70</v>
      </c>
      <c r="M49" s="21" t="s">
        <v>190</v>
      </c>
      <c r="N49" s="21" t="s">
        <v>91</v>
      </c>
      <c r="O49" s="19"/>
      <c r="P49" s="21" t="s">
        <v>120</v>
      </c>
      <c r="Q49" s="21" t="s">
        <v>124</v>
      </c>
      <c r="R49" s="21" t="s">
        <v>105</v>
      </c>
      <c r="S49" s="19"/>
      <c r="T49" s="19" t="str">
        <f>"725,0"</f>
        <v>725,0</v>
      </c>
      <c r="U49" s="19" t="str">
        <f>"430,1425"</f>
        <v>430,1425</v>
      </c>
      <c r="V49" s="20" t="s">
        <v>41</v>
      </c>
    </row>
    <row r="50" spans="1:22" ht="12.75">
      <c r="A50" s="17" t="s">
        <v>221</v>
      </c>
      <c r="B50" s="17" t="s">
        <v>685</v>
      </c>
      <c r="C50" s="18" t="s">
        <v>1211</v>
      </c>
      <c r="D50" s="18" t="s">
        <v>409</v>
      </c>
      <c r="E50" s="18" t="str">
        <f>"0,6006"</f>
        <v>0,6006</v>
      </c>
      <c r="F50" s="18" t="s">
        <v>1522</v>
      </c>
      <c r="G50" s="18" t="s">
        <v>1599</v>
      </c>
      <c r="H50" s="24" t="s">
        <v>84</v>
      </c>
      <c r="I50" s="23" t="s">
        <v>63</v>
      </c>
      <c r="J50" s="24" t="s">
        <v>95</v>
      </c>
      <c r="K50" s="17"/>
      <c r="L50" s="23" t="s">
        <v>23</v>
      </c>
      <c r="M50" s="23" t="s">
        <v>18</v>
      </c>
      <c r="N50" s="24" t="s">
        <v>24</v>
      </c>
      <c r="O50" s="17"/>
      <c r="P50" s="23" t="s">
        <v>105</v>
      </c>
      <c r="Q50" s="23" t="s">
        <v>106</v>
      </c>
      <c r="R50" s="17"/>
      <c r="S50" s="17"/>
      <c r="T50" s="17" t="str">
        <f>"660,0"</f>
        <v>660,0</v>
      </c>
      <c r="U50" s="17" t="str">
        <f>"396,3960"</f>
        <v>396,3960</v>
      </c>
      <c r="V50" s="18" t="s">
        <v>41</v>
      </c>
    </row>
    <row r="51" ht="12.75">
      <c r="B51" s="7" t="s">
        <v>218</v>
      </c>
    </row>
    <row r="52" spans="1:21" ht="15">
      <c r="A52" s="124" t="s">
        <v>1159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</row>
    <row r="53" spans="1:22" ht="12.75">
      <c r="A53" s="8" t="s">
        <v>217</v>
      </c>
      <c r="B53" s="8" t="s">
        <v>686</v>
      </c>
      <c r="C53" s="9" t="s">
        <v>1212</v>
      </c>
      <c r="D53" s="9" t="s">
        <v>561</v>
      </c>
      <c r="E53" s="9" t="str">
        <f>"0,5708"</f>
        <v>0,5708</v>
      </c>
      <c r="F53" s="9" t="s">
        <v>257</v>
      </c>
      <c r="G53" s="9" t="s">
        <v>1531</v>
      </c>
      <c r="H53" s="10" t="s">
        <v>161</v>
      </c>
      <c r="I53" s="10" t="s">
        <v>642</v>
      </c>
      <c r="J53" s="8"/>
      <c r="K53" s="8"/>
      <c r="L53" s="10" t="s">
        <v>63</v>
      </c>
      <c r="M53" s="11" t="s">
        <v>83</v>
      </c>
      <c r="N53" s="10" t="s">
        <v>83</v>
      </c>
      <c r="O53" s="8"/>
      <c r="P53" s="10" t="s">
        <v>161</v>
      </c>
      <c r="Q53" s="11" t="s">
        <v>637</v>
      </c>
      <c r="R53" s="11" t="s">
        <v>637</v>
      </c>
      <c r="S53" s="8"/>
      <c r="T53" s="8" t="str">
        <f>"890,0"</f>
        <v>890,0</v>
      </c>
      <c r="U53" s="8" t="str">
        <f>"508,0120"</f>
        <v>508,0120</v>
      </c>
      <c r="V53" s="9" t="s">
        <v>41</v>
      </c>
    </row>
    <row r="54" ht="12.75">
      <c r="B54" s="7" t="s">
        <v>218</v>
      </c>
    </row>
    <row r="55" spans="1:21" ht="15">
      <c r="A55" s="124" t="s">
        <v>1160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</row>
    <row r="56" spans="1:22" ht="12.75">
      <c r="A56" s="8" t="s">
        <v>217</v>
      </c>
      <c r="B56" s="8" t="s">
        <v>687</v>
      </c>
      <c r="C56" s="9" t="s">
        <v>1213</v>
      </c>
      <c r="D56" s="9" t="s">
        <v>688</v>
      </c>
      <c r="E56" s="9" t="str">
        <f>"0,5695"</f>
        <v>0,5695</v>
      </c>
      <c r="F56" s="9" t="s">
        <v>1522</v>
      </c>
      <c r="G56" s="9" t="s">
        <v>1529</v>
      </c>
      <c r="H56" s="10" t="s">
        <v>124</v>
      </c>
      <c r="I56" s="10" t="s">
        <v>125</v>
      </c>
      <c r="J56" s="11" t="s">
        <v>135</v>
      </c>
      <c r="K56" s="8"/>
      <c r="L56" s="10" t="s">
        <v>65</v>
      </c>
      <c r="M56" s="10" t="s">
        <v>66</v>
      </c>
      <c r="N56" s="10" t="s">
        <v>63</v>
      </c>
      <c r="O56" s="8"/>
      <c r="P56" s="10" t="s">
        <v>401</v>
      </c>
      <c r="Q56" s="10" t="s">
        <v>155</v>
      </c>
      <c r="R56" s="10" t="s">
        <v>156</v>
      </c>
      <c r="S56" s="8"/>
      <c r="T56" s="8" t="str">
        <f>"790,0"</f>
        <v>790,0</v>
      </c>
      <c r="U56" s="8" t="str">
        <f>"449,9050"</f>
        <v>449,9050</v>
      </c>
      <c r="V56" s="9" t="s">
        <v>689</v>
      </c>
    </row>
    <row r="57" ht="12.75">
      <c r="B57" s="7" t="s">
        <v>218</v>
      </c>
    </row>
    <row r="58" spans="1:21" ht="15">
      <c r="A58" s="124" t="s">
        <v>1161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</row>
    <row r="59" spans="1:22" ht="12.75">
      <c r="A59" s="13" t="s">
        <v>217</v>
      </c>
      <c r="B59" s="13" t="s">
        <v>690</v>
      </c>
      <c r="C59" s="14" t="s">
        <v>1214</v>
      </c>
      <c r="D59" s="14" t="s">
        <v>691</v>
      </c>
      <c r="E59" s="14" t="str">
        <f>"0,5569"</f>
        <v>0,5569</v>
      </c>
      <c r="F59" s="14" t="s">
        <v>862</v>
      </c>
      <c r="G59" s="14" t="s">
        <v>1567</v>
      </c>
      <c r="H59" s="16" t="s">
        <v>162</v>
      </c>
      <c r="I59" s="16" t="s">
        <v>640</v>
      </c>
      <c r="J59" s="15" t="s">
        <v>438</v>
      </c>
      <c r="K59" s="13"/>
      <c r="L59" s="16" t="s">
        <v>83</v>
      </c>
      <c r="M59" s="16" t="s">
        <v>120</v>
      </c>
      <c r="N59" s="15" t="s">
        <v>173</v>
      </c>
      <c r="O59" s="13"/>
      <c r="P59" s="15" t="s">
        <v>162</v>
      </c>
      <c r="Q59" s="16" t="s">
        <v>642</v>
      </c>
      <c r="R59" s="16" t="s">
        <v>692</v>
      </c>
      <c r="S59" s="13"/>
      <c r="T59" s="13" t="str">
        <f>"960,0"</f>
        <v>960,0</v>
      </c>
      <c r="U59" s="13" t="str">
        <f>"534,6240"</f>
        <v>534,6240</v>
      </c>
      <c r="V59" s="14" t="s">
        <v>41</v>
      </c>
    </row>
    <row r="60" spans="1:22" ht="12.75">
      <c r="A60" s="17" t="s">
        <v>220</v>
      </c>
      <c r="B60" s="17" t="s">
        <v>693</v>
      </c>
      <c r="C60" s="18" t="s">
        <v>1215</v>
      </c>
      <c r="D60" s="18" t="s">
        <v>694</v>
      </c>
      <c r="E60" s="18" t="str">
        <f>"0,5587"</f>
        <v>0,5587</v>
      </c>
      <c r="F60" s="18" t="s">
        <v>1522</v>
      </c>
      <c r="G60" s="43" t="s">
        <v>1529</v>
      </c>
      <c r="H60" s="24" t="s">
        <v>120</v>
      </c>
      <c r="I60" s="23" t="s">
        <v>173</v>
      </c>
      <c r="J60" s="23" t="s">
        <v>354</v>
      </c>
      <c r="K60" s="17"/>
      <c r="L60" s="24" t="s">
        <v>55</v>
      </c>
      <c r="M60" s="23" t="s">
        <v>72</v>
      </c>
      <c r="N60" s="23" t="s">
        <v>64</v>
      </c>
      <c r="O60" s="17"/>
      <c r="P60" s="23" t="s">
        <v>135</v>
      </c>
      <c r="Q60" s="23" t="s">
        <v>99</v>
      </c>
      <c r="R60" s="17"/>
      <c r="S60" s="17"/>
      <c r="T60" s="17" t="str">
        <f>"735,0"</f>
        <v>735,0</v>
      </c>
      <c r="U60" s="17" t="str">
        <f>"410,6445"</f>
        <v>410,6445</v>
      </c>
      <c r="V60" s="18" t="s">
        <v>689</v>
      </c>
    </row>
    <row r="61" ht="12.75">
      <c r="B61" s="7" t="s">
        <v>218</v>
      </c>
    </row>
    <row r="62" ht="12.75">
      <c r="B62" s="7" t="s">
        <v>218</v>
      </c>
    </row>
    <row r="63" spans="2:3" ht="18">
      <c r="B63" s="25" t="s">
        <v>1689</v>
      </c>
      <c r="C63" s="25"/>
    </row>
    <row r="64" spans="2:3" ht="15">
      <c r="B64" s="27" t="s">
        <v>1690</v>
      </c>
      <c r="C64" s="27"/>
    </row>
    <row r="65" spans="2:3" ht="14.25">
      <c r="B65" s="28"/>
      <c r="C65" s="29" t="s">
        <v>1378</v>
      </c>
    </row>
    <row r="66" spans="2:6" ht="15">
      <c r="B66" s="4" t="s">
        <v>1134</v>
      </c>
      <c r="C66" s="4" t="s">
        <v>1135</v>
      </c>
      <c r="D66" s="4" t="s">
        <v>1711</v>
      </c>
      <c r="E66" s="4" t="s">
        <v>1145</v>
      </c>
      <c r="F66" s="4" t="s">
        <v>193</v>
      </c>
    </row>
    <row r="67" spans="2:6" ht="12.75">
      <c r="B67" s="7" t="s">
        <v>680</v>
      </c>
      <c r="C67" s="6" t="s">
        <v>1378</v>
      </c>
      <c r="D67" s="7" t="s">
        <v>12</v>
      </c>
      <c r="E67" s="7" t="s">
        <v>695</v>
      </c>
      <c r="F67" s="7" t="s">
        <v>696</v>
      </c>
    </row>
    <row r="68" spans="2:6" ht="12.75">
      <c r="B68" s="7" t="s">
        <v>603</v>
      </c>
      <c r="C68" s="6" t="s">
        <v>1378</v>
      </c>
      <c r="D68" s="7" t="s">
        <v>8</v>
      </c>
      <c r="E68" s="7" t="s">
        <v>697</v>
      </c>
      <c r="F68" s="7" t="s">
        <v>698</v>
      </c>
    </row>
    <row r="69" spans="2:6" ht="12.75">
      <c r="B69" s="7" t="s">
        <v>664</v>
      </c>
      <c r="C69" s="6" t="s">
        <v>1378</v>
      </c>
      <c r="D69" s="7" t="s">
        <v>21</v>
      </c>
      <c r="E69" s="7" t="s">
        <v>699</v>
      </c>
      <c r="F69" s="7" t="s">
        <v>700</v>
      </c>
    </row>
    <row r="71" spans="2:3" ht="14.25">
      <c r="B71" s="28"/>
      <c r="C71" s="29" t="s">
        <v>1193</v>
      </c>
    </row>
    <row r="72" spans="2:6" ht="15">
      <c r="B72" s="4" t="s">
        <v>1134</v>
      </c>
      <c r="C72" s="4" t="s">
        <v>1135</v>
      </c>
      <c r="D72" s="4" t="s">
        <v>1711</v>
      </c>
      <c r="E72" s="4" t="s">
        <v>1145</v>
      </c>
      <c r="F72" s="4" t="s">
        <v>193</v>
      </c>
    </row>
    <row r="73" spans="2:6" ht="12.75">
      <c r="B73" s="7" t="s">
        <v>690</v>
      </c>
      <c r="C73" s="6" t="s">
        <v>1193</v>
      </c>
      <c r="D73" s="7" t="s">
        <v>13</v>
      </c>
      <c r="E73" s="7" t="s">
        <v>701</v>
      </c>
      <c r="F73" s="7" t="s">
        <v>702</v>
      </c>
    </row>
    <row r="74" spans="2:6" ht="12.75">
      <c r="B74" s="7" t="s">
        <v>686</v>
      </c>
      <c r="C74" s="6" t="s">
        <v>1193</v>
      </c>
      <c r="D74" s="7" t="s">
        <v>44</v>
      </c>
      <c r="E74" s="7" t="s">
        <v>703</v>
      </c>
      <c r="F74" s="7" t="s">
        <v>704</v>
      </c>
    </row>
    <row r="75" spans="2:6" ht="12.75">
      <c r="B75" s="7" t="s">
        <v>665</v>
      </c>
      <c r="C75" s="6" t="s">
        <v>1193</v>
      </c>
      <c r="D75" s="7" t="s">
        <v>21</v>
      </c>
      <c r="E75" s="7" t="s">
        <v>705</v>
      </c>
      <c r="F75" s="7" t="s">
        <v>706</v>
      </c>
    </row>
    <row r="77" spans="2:3" ht="14.25">
      <c r="B77" s="28"/>
      <c r="C77" s="29" t="s">
        <v>1397</v>
      </c>
    </row>
    <row r="78" spans="2:6" ht="15">
      <c r="B78" s="4" t="s">
        <v>1134</v>
      </c>
      <c r="C78" s="4" t="s">
        <v>1135</v>
      </c>
      <c r="D78" s="4" t="s">
        <v>1711</v>
      </c>
      <c r="E78" s="4" t="s">
        <v>1145</v>
      </c>
      <c r="F78" s="4" t="s">
        <v>193</v>
      </c>
    </row>
    <row r="79" spans="2:6" ht="12.75">
      <c r="B79" s="7" t="s">
        <v>676</v>
      </c>
      <c r="C79" s="6" t="s">
        <v>1399</v>
      </c>
      <c r="D79" s="7" t="s">
        <v>21</v>
      </c>
      <c r="E79" s="7" t="s">
        <v>209</v>
      </c>
      <c r="F79" s="7" t="s">
        <v>707</v>
      </c>
    </row>
    <row r="80" spans="2:6" ht="12.75">
      <c r="B80" s="7" t="s">
        <v>181</v>
      </c>
      <c r="C80" s="6" t="s">
        <v>1399</v>
      </c>
      <c r="D80" s="7" t="s">
        <v>8</v>
      </c>
      <c r="E80" s="7" t="s">
        <v>708</v>
      </c>
      <c r="F80" s="7" t="s">
        <v>709</v>
      </c>
    </row>
    <row r="81" spans="2:6" ht="12.75">
      <c r="B81" s="7" t="s">
        <v>674</v>
      </c>
      <c r="C81" s="6" t="s">
        <v>1399</v>
      </c>
      <c r="D81" s="7" t="s">
        <v>21</v>
      </c>
      <c r="E81" s="7" t="s">
        <v>710</v>
      </c>
      <c r="F81" s="7" t="s">
        <v>711</v>
      </c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</sheetData>
  <sheetProtection/>
  <mergeCells count="25">
    <mergeCell ref="A55:U55"/>
    <mergeCell ref="U3:U4"/>
    <mergeCell ref="A58:U58"/>
    <mergeCell ref="B3:B4"/>
    <mergeCell ref="A17:U17"/>
    <mergeCell ref="A20:U20"/>
    <mergeCell ref="A23:U23"/>
    <mergeCell ref="A33:U33"/>
    <mergeCell ref="A45:U45"/>
    <mergeCell ref="A52:U52"/>
    <mergeCell ref="T3:T4"/>
    <mergeCell ref="F3:F4"/>
    <mergeCell ref="V3:V4"/>
    <mergeCell ref="A5:U5"/>
    <mergeCell ref="A8:U8"/>
    <mergeCell ref="A12:U12"/>
    <mergeCell ref="H3:K3"/>
    <mergeCell ref="A1:V2"/>
    <mergeCell ref="A3:A4"/>
    <mergeCell ref="C3:C4"/>
    <mergeCell ref="D3:D4"/>
    <mergeCell ref="E3:E4"/>
    <mergeCell ref="G3:G4"/>
    <mergeCell ref="L3:O3"/>
    <mergeCell ref="P3:S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1"/>
  <sheetViews>
    <sheetView zoomScalePageLayoutView="0" workbookViewId="0" topLeftCell="A163">
      <selection activeCell="D142" sqref="D142"/>
    </sheetView>
  </sheetViews>
  <sheetFormatPr defaultColWidth="11.00390625" defaultRowHeight="12.75"/>
  <cols>
    <col min="1" max="1" width="7.375" style="7" bestFit="1" customWidth="1"/>
    <col min="2" max="2" width="26.75390625" style="7" customWidth="1"/>
    <col min="3" max="3" width="28.375" style="6" bestFit="1" customWidth="1"/>
    <col min="4" max="4" width="17.125" style="6" customWidth="1"/>
    <col min="5" max="5" width="10.625" style="6" bestFit="1" customWidth="1"/>
    <col min="6" max="6" width="27.625" style="6" bestFit="1" customWidth="1"/>
    <col min="7" max="7" width="37.00390625" style="6" bestFit="1" customWidth="1"/>
    <col min="8" max="10" width="5.625" style="7" bestFit="1" customWidth="1"/>
    <col min="11" max="11" width="4.25390625" style="7" customWidth="1"/>
    <col min="12" max="18" width="5.625" style="7" bestFit="1" customWidth="1"/>
    <col min="19" max="19" width="4.875" style="7" bestFit="1" customWidth="1"/>
    <col min="20" max="20" width="7.875" style="7" bestFit="1" customWidth="1"/>
    <col min="21" max="21" width="8.625" style="7" bestFit="1" customWidth="1"/>
    <col min="22" max="22" width="30.875" style="6" bestFit="1" customWidth="1"/>
    <col min="23" max="16384" width="9.125" style="1" customWidth="1"/>
  </cols>
  <sheetData>
    <row r="1" spans="1:22" ht="28.5" customHeight="1">
      <c r="A1" s="114" t="s">
        <v>1600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</row>
    <row r="2" spans="1:22" ht="61.5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2" s="2" customFormat="1" ht="12.75" customHeight="1">
      <c r="A3" s="121" t="s">
        <v>1132</v>
      </c>
      <c r="B3" s="126" t="s">
        <v>1133</v>
      </c>
      <c r="C3" s="123" t="s">
        <v>1136</v>
      </c>
      <c r="D3" s="123" t="s">
        <v>1137</v>
      </c>
      <c r="E3" s="112" t="s">
        <v>0</v>
      </c>
      <c r="F3" s="112" t="s">
        <v>1139</v>
      </c>
      <c r="G3" s="112" t="s">
        <v>1140</v>
      </c>
      <c r="H3" s="112" t="s">
        <v>1141</v>
      </c>
      <c r="I3" s="112"/>
      <c r="J3" s="112"/>
      <c r="K3" s="112"/>
      <c r="L3" s="112" t="s">
        <v>1142</v>
      </c>
      <c r="M3" s="112"/>
      <c r="N3" s="112"/>
      <c r="O3" s="112"/>
      <c r="P3" s="112" t="s">
        <v>1143</v>
      </c>
      <c r="Q3" s="112"/>
      <c r="R3" s="112"/>
      <c r="S3" s="112"/>
      <c r="T3" s="112" t="s">
        <v>1144</v>
      </c>
      <c r="U3" s="112" t="s">
        <v>1146</v>
      </c>
      <c r="V3" s="110" t="s">
        <v>1147</v>
      </c>
    </row>
    <row r="4" spans="1:22" s="2" customFormat="1" ht="21" customHeight="1" thickBot="1">
      <c r="A4" s="122"/>
      <c r="B4" s="127"/>
      <c r="C4" s="113"/>
      <c r="D4" s="113"/>
      <c r="E4" s="113"/>
      <c r="F4" s="113"/>
      <c r="G4" s="113"/>
      <c r="H4" s="3">
        <v>1</v>
      </c>
      <c r="I4" s="3">
        <v>2</v>
      </c>
      <c r="J4" s="3">
        <v>3</v>
      </c>
      <c r="K4" s="3" t="s">
        <v>1518</v>
      </c>
      <c r="L4" s="3">
        <v>1</v>
      </c>
      <c r="M4" s="3">
        <v>2</v>
      </c>
      <c r="N4" s="3">
        <v>3</v>
      </c>
      <c r="O4" s="3" t="s">
        <v>1518</v>
      </c>
      <c r="P4" s="3">
        <v>1</v>
      </c>
      <c r="Q4" s="3">
        <v>2</v>
      </c>
      <c r="R4" s="3">
        <v>3</v>
      </c>
      <c r="S4" s="3" t="s">
        <v>1518</v>
      </c>
      <c r="T4" s="113"/>
      <c r="U4" s="113"/>
      <c r="V4" s="111"/>
    </row>
    <row r="5" spans="1:21" ht="15">
      <c r="A5" s="125" t="s">
        <v>1162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2" ht="12.75">
      <c r="A6" s="13" t="s">
        <v>217</v>
      </c>
      <c r="B6" s="13" t="s">
        <v>227</v>
      </c>
      <c r="C6" s="14" t="s">
        <v>1372</v>
      </c>
      <c r="D6" s="14" t="s">
        <v>228</v>
      </c>
      <c r="E6" s="14" t="str">
        <f>"1,4123"</f>
        <v>1,4123</v>
      </c>
      <c r="F6" s="14" t="s">
        <v>1522</v>
      </c>
      <c r="G6" s="14" t="s">
        <v>1567</v>
      </c>
      <c r="H6" s="16" t="s">
        <v>229</v>
      </c>
      <c r="I6" s="16" t="s">
        <v>3</v>
      </c>
      <c r="J6" s="16" t="s">
        <v>58</v>
      </c>
      <c r="K6" s="13"/>
      <c r="L6" s="16" t="s">
        <v>31</v>
      </c>
      <c r="M6" s="16" t="s">
        <v>230</v>
      </c>
      <c r="N6" s="15" t="s">
        <v>32</v>
      </c>
      <c r="O6" s="13"/>
      <c r="P6" s="16" t="s">
        <v>12</v>
      </c>
      <c r="Q6" s="16" t="s">
        <v>231</v>
      </c>
      <c r="R6" s="16" t="s">
        <v>34</v>
      </c>
      <c r="S6" s="13"/>
      <c r="T6" s="13" t="str">
        <f>"242,5"</f>
        <v>242,5</v>
      </c>
      <c r="U6" s="13" t="str">
        <f>"342,4827"</f>
        <v>342,4827</v>
      </c>
      <c r="V6" s="14" t="s">
        <v>874</v>
      </c>
    </row>
    <row r="7" spans="1:22" ht="12.75">
      <c r="A7" s="17" t="s">
        <v>217</v>
      </c>
      <c r="B7" s="17" t="s">
        <v>227</v>
      </c>
      <c r="C7" s="18" t="s">
        <v>1216</v>
      </c>
      <c r="D7" s="18" t="s">
        <v>228</v>
      </c>
      <c r="E7" s="18" t="str">
        <f>"1,4123"</f>
        <v>1,4123</v>
      </c>
      <c r="F7" s="18" t="s">
        <v>1522</v>
      </c>
      <c r="G7" s="18" t="s">
        <v>1567</v>
      </c>
      <c r="H7" s="23" t="s">
        <v>229</v>
      </c>
      <c r="I7" s="23" t="s">
        <v>3</v>
      </c>
      <c r="J7" s="23" t="s">
        <v>58</v>
      </c>
      <c r="K7" s="17"/>
      <c r="L7" s="23" t="s">
        <v>31</v>
      </c>
      <c r="M7" s="23" t="s">
        <v>230</v>
      </c>
      <c r="N7" s="24" t="s">
        <v>32</v>
      </c>
      <c r="O7" s="17"/>
      <c r="P7" s="23" t="s">
        <v>12</v>
      </c>
      <c r="Q7" s="23" t="s">
        <v>231</v>
      </c>
      <c r="R7" s="23" t="s">
        <v>34</v>
      </c>
      <c r="S7" s="17"/>
      <c r="T7" s="17" t="str">
        <f>"242,5"</f>
        <v>242,5</v>
      </c>
      <c r="U7" s="17" t="str">
        <f>"342,4827"</f>
        <v>342,4827</v>
      </c>
      <c r="V7" s="18" t="s">
        <v>874</v>
      </c>
    </row>
    <row r="8" ht="12.75">
      <c r="B8" s="7" t="s">
        <v>218</v>
      </c>
    </row>
    <row r="9" spans="1:21" ht="15">
      <c r="A9" s="124" t="s">
        <v>1148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</row>
    <row r="10" spans="1:22" ht="12.75">
      <c r="A10" s="13" t="s">
        <v>219</v>
      </c>
      <c r="B10" s="13" t="s">
        <v>232</v>
      </c>
      <c r="C10" s="14" t="s">
        <v>1367</v>
      </c>
      <c r="D10" s="14" t="s">
        <v>233</v>
      </c>
      <c r="E10" s="14" t="str">
        <f>"1,3699"</f>
        <v>1,3699</v>
      </c>
      <c r="F10" s="14" t="s">
        <v>1522</v>
      </c>
      <c r="G10" s="14" t="s">
        <v>1525</v>
      </c>
      <c r="H10" s="15" t="s">
        <v>234</v>
      </c>
      <c r="I10" s="15" t="s">
        <v>234</v>
      </c>
      <c r="J10" s="15" t="s">
        <v>234</v>
      </c>
      <c r="K10" s="13"/>
      <c r="L10" s="15"/>
      <c r="M10" s="13"/>
      <c r="N10" s="13"/>
      <c r="O10" s="13"/>
      <c r="P10" s="15"/>
      <c r="Q10" s="13"/>
      <c r="R10" s="13"/>
      <c r="S10" s="13"/>
      <c r="T10" s="13" t="str">
        <f>"0,0"</f>
        <v>0,0</v>
      </c>
      <c r="U10" s="13" t="str">
        <f>"0,0000"</f>
        <v>0,0000</v>
      </c>
      <c r="V10" s="14" t="s">
        <v>235</v>
      </c>
    </row>
    <row r="11" spans="1:22" ht="12.75">
      <c r="A11" s="17" t="s">
        <v>217</v>
      </c>
      <c r="B11" s="17" t="s">
        <v>236</v>
      </c>
      <c r="C11" s="18" t="s">
        <v>1217</v>
      </c>
      <c r="D11" s="18" t="s">
        <v>237</v>
      </c>
      <c r="E11" s="18" t="str">
        <f>"1,3657"</f>
        <v>1,3657</v>
      </c>
      <c r="F11" s="18" t="s">
        <v>1522</v>
      </c>
      <c r="G11" s="18" t="s">
        <v>1567</v>
      </c>
      <c r="H11" s="23" t="s">
        <v>8</v>
      </c>
      <c r="I11" s="23" t="s">
        <v>21</v>
      </c>
      <c r="J11" s="24" t="s">
        <v>39</v>
      </c>
      <c r="K11" s="17"/>
      <c r="L11" s="23" t="s">
        <v>238</v>
      </c>
      <c r="M11" s="23" t="s">
        <v>31</v>
      </c>
      <c r="N11" s="24" t="s">
        <v>230</v>
      </c>
      <c r="O11" s="17"/>
      <c r="P11" s="23" t="s">
        <v>12</v>
      </c>
      <c r="Q11" s="23" t="s">
        <v>231</v>
      </c>
      <c r="R11" s="24" t="s">
        <v>34</v>
      </c>
      <c r="S11" s="17"/>
      <c r="T11" s="17" t="str">
        <f>"260,0"</f>
        <v>260,0</v>
      </c>
      <c r="U11" s="17" t="str">
        <f>"355,0820"</f>
        <v>355,0820</v>
      </c>
      <c r="V11" s="18" t="s">
        <v>239</v>
      </c>
    </row>
    <row r="12" ht="12.75">
      <c r="B12" s="7" t="s">
        <v>218</v>
      </c>
    </row>
    <row r="13" spans="1:21" ht="15">
      <c r="A13" s="124" t="s">
        <v>1149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</row>
    <row r="14" spans="1:22" ht="12.75">
      <c r="A14" s="13" t="s">
        <v>217</v>
      </c>
      <c r="B14" s="13" t="s">
        <v>240</v>
      </c>
      <c r="C14" s="14" t="s">
        <v>1373</v>
      </c>
      <c r="D14" s="14" t="s">
        <v>241</v>
      </c>
      <c r="E14" s="14" t="str">
        <f>"1,2750"</f>
        <v>1,2750</v>
      </c>
      <c r="F14" s="14" t="s">
        <v>1522</v>
      </c>
      <c r="G14" s="14" t="s">
        <v>1601</v>
      </c>
      <c r="H14" s="15" t="s">
        <v>21</v>
      </c>
      <c r="I14" s="16" t="s">
        <v>21</v>
      </c>
      <c r="J14" s="15" t="s">
        <v>12</v>
      </c>
      <c r="K14" s="13"/>
      <c r="L14" s="16" t="s">
        <v>33</v>
      </c>
      <c r="M14" s="16" t="s">
        <v>53</v>
      </c>
      <c r="N14" s="15" t="s">
        <v>229</v>
      </c>
      <c r="O14" s="13"/>
      <c r="P14" s="16" t="s">
        <v>8</v>
      </c>
      <c r="Q14" s="16" t="s">
        <v>21</v>
      </c>
      <c r="R14" s="15" t="s">
        <v>12</v>
      </c>
      <c r="S14" s="13"/>
      <c r="T14" s="13" t="str">
        <f>"260,0"</f>
        <v>260,0</v>
      </c>
      <c r="U14" s="13" t="str">
        <f>"331,5000"</f>
        <v>331,5000</v>
      </c>
      <c r="V14" s="14" t="s">
        <v>322</v>
      </c>
    </row>
    <row r="15" spans="1:22" ht="12.75">
      <c r="A15" s="19" t="s">
        <v>220</v>
      </c>
      <c r="B15" s="19" t="s">
        <v>242</v>
      </c>
      <c r="C15" s="20" t="s">
        <v>1374</v>
      </c>
      <c r="D15" s="20" t="s">
        <v>243</v>
      </c>
      <c r="E15" s="20" t="str">
        <f>"1,2560"</f>
        <v>1,2560</v>
      </c>
      <c r="F15" s="20" t="s">
        <v>862</v>
      </c>
      <c r="G15" s="20" t="s">
        <v>1567</v>
      </c>
      <c r="H15" s="21" t="s">
        <v>46</v>
      </c>
      <c r="I15" s="21" t="s">
        <v>47</v>
      </c>
      <c r="J15" s="21" t="s">
        <v>71</v>
      </c>
      <c r="K15" s="19"/>
      <c r="L15" s="21" t="s">
        <v>6</v>
      </c>
      <c r="M15" s="21" t="s">
        <v>31</v>
      </c>
      <c r="N15" s="22" t="s">
        <v>230</v>
      </c>
      <c r="O15" s="19"/>
      <c r="P15" s="21" t="s">
        <v>7</v>
      </c>
      <c r="Q15" s="21" t="s">
        <v>47</v>
      </c>
      <c r="R15" s="22" t="s">
        <v>71</v>
      </c>
      <c r="S15" s="19"/>
      <c r="T15" s="19" t="str">
        <f>"235,0"</f>
        <v>235,0</v>
      </c>
      <c r="U15" s="19" t="str">
        <f>"295,1600"</f>
        <v>295,1600</v>
      </c>
      <c r="V15" s="20" t="s">
        <v>648</v>
      </c>
    </row>
    <row r="16" spans="1:22" ht="12.75">
      <c r="A16" s="19" t="s">
        <v>217</v>
      </c>
      <c r="B16" s="19" t="s">
        <v>244</v>
      </c>
      <c r="C16" s="20" t="s">
        <v>1218</v>
      </c>
      <c r="D16" s="20" t="s">
        <v>245</v>
      </c>
      <c r="E16" s="20" t="str">
        <f>"1,2769"</f>
        <v>1,2769</v>
      </c>
      <c r="F16" s="20" t="s">
        <v>1540</v>
      </c>
      <c r="G16" s="20" t="s">
        <v>1539</v>
      </c>
      <c r="H16" s="22" t="s">
        <v>12</v>
      </c>
      <c r="I16" s="21" t="s">
        <v>12</v>
      </c>
      <c r="J16" s="22" t="s">
        <v>231</v>
      </c>
      <c r="K16" s="19"/>
      <c r="L16" s="21" t="s">
        <v>3</v>
      </c>
      <c r="M16" s="22" t="s">
        <v>58</v>
      </c>
      <c r="N16" s="22" t="s">
        <v>58</v>
      </c>
      <c r="O16" s="19"/>
      <c r="P16" s="21" t="s">
        <v>34</v>
      </c>
      <c r="Q16" s="21" t="s">
        <v>44</v>
      </c>
      <c r="R16" s="21" t="s">
        <v>28</v>
      </c>
      <c r="S16" s="19"/>
      <c r="T16" s="19" t="str">
        <f>"310,0"</f>
        <v>310,0</v>
      </c>
      <c r="U16" s="19" t="str">
        <f>"395,8390"</f>
        <v>395,8390</v>
      </c>
      <c r="V16" s="20" t="s">
        <v>246</v>
      </c>
    </row>
    <row r="17" spans="1:22" ht="12.75">
      <c r="A17" s="19" t="s">
        <v>220</v>
      </c>
      <c r="B17" s="19" t="s">
        <v>247</v>
      </c>
      <c r="C17" s="20" t="s">
        <v>1219</v>
      </c>
      <c r="D17" s="20" t="s">
        <v>248</v>
      </c>
      <c r="E17" s="20" t="str">
        <f>"1,2466"</f>
        <v>1,2466</v>
      </c>
      <c r="F17" s="20" t="s">
        <v>1522</v>
      </c>
      <c r="G17" s="20" t="s">
        <v>1602</v>
      </c>
      <c r="H17" s="21" t="s">
        <v>21</v>
      </c>
      <c r="I17" s="22" t="s">
        <v>39</v>
      </c>
      <c r="J17" s="21" t="s">
        <v>39</v>
      </c>
      <c r="K17" s="19"/>
      <c r="L17" s="21" t="s">
        <v>6</v>
      </c>
      <c r="M17" s="21" t="s">
        <v>31</v>
      </c>
      <c r="N17" s="22" t="s">
        <v>230</v>
      </c>
      <c r="O17" s="19"/>
      <c r="P17" s="21" t="s">
        <v>39</v>
      </c>
      <c r="Q17" s="21" t="s">
        <v>249</v>
      </c>
      <c r="R17" s="21" t="s">
        <v>250</v>
      </c>
      <c r="S17" s="19"/>
      <c r="T17" s="19" t="str">
        <f>"267,5"</f>
        <v>267,5</v>
      </c>
      <c r="U17" s="19" t="str">
        <f>"333,4655"</f>
        <v>333,4655</v>
      </c>
      <c r="V17" s="20" t="s">
        <v>251</v>
      </c>
    </row>
    <row r="18" spans="1:22" ht="12.75">
      <c r="A18" s="17" t="s">
        <v>217</v>
      </c>
      <c r="B18" s="17" t="s">
        <v>252</v>
      </c>
      <c r="C18" s="18" t="s">
        <v>1403</v>
      </c>
      <c r="D18" s="18" t="s">
        <v>253</v>
      </c>
      <c r="E18" s="18" t="str">
        <f>"1,2730"</f>
        <v>1,2730</v>
      </c>
      <c r="F18" s="18" t="s">
        <v>1522</v>
      </c>
      <c r="G18" s="18" t="s">
        <v>1567</v>
      </c>
      <c r="H18" s="23" t="s">
        <v>58</v>
      </c>
      <c r="I18" s="24" t="s">
        <v>4</v>
      </c>
      <c r="J18" s="24" t="s">
        <v>4</v>
      </c>
      <c r="K18" s="17"/>
      <c r="L18" s="23" t="s">
        <v>230</v>
      </c>
      <c r="M18" s="23" t="s">
        <v>32</v>
      </c>
      <c r="N18" s="23" t="s">
        <v>254</v>
      </c>
      <c r="O18" s="17"/>
      <c r="P18" s="24" t="s">
        <v>8</v>
      </c>
      <c r="Q18" s="23" t="s">
        <v>8</v>
      </c>
      <c r="R18" s="23" t="s">
        <v>20</v>
      </c>
      <c r="S18" s="17"/>
      <c r="T18" s="17" t="str">
        <f>"222,5"</f>
        <v>222,5</v>
      </c>
      <c r="U18" s="17" t="str">
        <f>"283,2425"</f>
        <v>283,2425</v>
      </c>
      <c r="V18" s="18" t="s">
        <v>239</v>
      </c>
    </row>
    <row r="19" ht="12.75">
      <c r="B19" s="7" t="s">
        <v>218</v>
      </c>
    </row>
    <row r="20" spans="1:21" ht="15">
      <c r="A20" s="124" t="s">
        <v>1150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</row>
    <row r="21" spans="1:22" ht="12.75">
      <c r="A21" s="13" t="s">
        <v>217</v>
      </c>
      <c r="B21" s="13" t="s">
        <v>255</v>
      </c>
      <c r="C21" s="14" t="s">
        <v>1220</v>
      </c>
      <c r="D21" s="14" t="s">
        <v>256</v>
      </c>
      <c r="E21" s="14" t="str">
        <f>"1,1916"</f>
        <v>1,1916</v>
      </c>
      <c r="F21" s="14" t="s">
        <v>257</v>
      </c>
      <c r="G21" s="14" t="s">
        <v>1603</v>
      </c>
      <c r="H21" s="16" t="s">
        <v>231</v>
      </c>
      <c r="I21" s="15" t="s">
        <v>34</v>
      </c>
      <c r="J21" s="15" t="s">
        <v>34</v>
      </c>
      <c r="K21" s="13"/>
      <c r="L21" s="16" t="s">
        <v>4</v>
      </c>
      <c r="M21" s="16" t="s">
        <v>7</v>
      </c>
      <c r="N21" s="15" t="s">
        <v>19</v>
      </c>
      <c r="O21" s="13"/>
      <c r="P21" s="16" t="s">
        <v>34</v>
      </c>
      <c r="Q21" s="16" t="s">
        <v>28</v>
      </c>
      <c r="R21" s="15" t="s">
        <v>45</v>
      </c>
      <c r="S21" s="13"/>
      <c r="T21" s="13" t="str">
        <f>"330,0"</f>
        <v>330,0</v>
      </c>
      <c r="U21" s="13" t="str">
        <f>"393,2280"</f>
        <v>393,2280</v>
      </c>
      <c r="V21" s="14" t="s">
        <v>258</v>
      </c>
    </row>
    <row r="22" spans="1:22" ht="12.75">
      <c r="A22" s="19" t="s">
        <v>220</v>
      </c>
      <c r="B22" s="19" t="s">
        <v>259</v>
      </c>
      <c r="C22" s="20" t="s">
        <v>1221</v>
      </c>
      <c r="D22" s="20" t="s">
        <v>260</v>
      </c>
      <c r="E22" s="20" t="str">
        <f>"1,1849"</f>
        <v>1,1849</v>
      </c>
      <c r="F22" s="20" t="s">
        <v>862</v>
      </c>
      <c r="G22" s="20" t="s">
        <v>1567</v>
      </c>
      <c r="H22" s="22" t="s">
        <v>21</v>
      </c>
      <c r="I22" s="21" t="s">
        <v>12</v>
      </c>
      <c r="J22" s="22" t="s">
        <v>250</v>
      </c>
      <c r="K22" s="19"/>
      <c r="L22" s="22" t="s">
        <v>53</v>
      </c>
      <c r="M22" s="21" t="s">
        <v>53</v>
      </c>
      <c r="N22" s="22" t="s">
        <v>229</v>
      </c>
      <c r="O22" s="19"/>
      <c r="P22" s="21" t="s">
        <v>21</v>
      </c>
      <c r="Q22" s="22" t="s">
        <v>12</v>
      </c>
      <c r="R22" s="22" t="s">
        <v>12</v>
      </c>
      <c r="S22" s="19"/>
      <c r="T22" s="19" t="str">
        <f>"270,0"</f>
        <v>270,0</v>
      </c>
      <c r="U22" s="19" t="str">
        <f>"319,9230"</f>
        <v>319,9230</v>
      </c>
      <c r="V22" s="20" t="s">
        <v>41</v>
      </c>
    </row>
    <row r="23" spans="1:22" ht="12.75">
      <c r="A23" s="19" t="s">
        <v>221</v>
      </c>
      <c r="B23" s="19" t="s">
        <v>261</v>
      </c>
      <c r="C23" s="20" t="s">
        <v>1222</v>
      </c>
      <c r="D23" s="20" t="s">
        <v>262</v>
      </c>
      <c r="E23" s="20" t="str">
        <f>"1,2002"</f>
        <v>1,2002</v>
      </c>
      <c r="F23" s="20" t="s">
        <v>1522</v>
      </c>
      <c r="G23" s="20" t="s">
        <v>1604</v>
      </c>
      <c r="H23" s="22" t="s">
        <v>8</v>
      </c>
      <c r="I23" s="21" t="s">
        <v>21</v>
      </c>
      <c r="J23" s="22" t="s">
        <v>12</v>
      </c>
      <c r="K23" s="19"/>
      <c r="L23" s="21" t="s">
        <v>238</v>
      </c>
      <c r="M23" s="21" t="s">
        <v>230</v>
      </c>
      <c r="N23" s="21" t="s">
        <v>32</v>
      </c>
      <c r="O23" s="19"/>
      <c r="P23" s="21" t="s">
        <v>19</v>
      </c>
      <c r="Q23" s="21" t="s">
        <v>47</v>
      </c>
      <c r="R23" s="21" t="s">
        <v>21</v>
      </c>
      <c r="S23" s="19"/>
      <c r="T23" s="19" t="str">
        <f>"250,0"</f>
        <v>250,0</v>
      </c>
      <c r="U23" s="19" t="str">
        <f>"300,0500"</f>
        <v>300,0500</v>
      </c>
      <c r="V23" s="20" t="s">
        <v>263</v>
      </c>
    </row>
    <row r="24" spans="1:22" ht="12.75">
      <c r="A24" s="17" t="s">
        <v>217</v>
      </c>
      <c r="B24" s="17" t="s">
        <v>264</v>
      </c>
      <c r="C24" s="18" t="s">
        <v>1404</v>
      </c>
      <c r="D24" s="18" t="s">
        <v>265</v>
      </c>
      <c r="E24" s="18" t="str">
        <f>"1,2284"</f>
        <v>1,2284</v>
      </c>
      <c r="F24" s="18" t="s">
        <v>1522</v>
      </c>
      <c r="G24" s="18" t="s">
        <v>1605</v>
      </c>
      <c r="H24" s="23" t="s">
        <v>8</v>
      </c>
      <c r="I24" s="24" t="s">
        <v>39</v>
      </c>
      <c r="J24" s="23" t="s">
        <v>39</v>
      </c>
      <c r="K24" s="17"/>
      <c r="L24" s="23" t="s">
        <v>33</v>
      </c>
      <c r="M24" s="23" t="s">
        <v>53</v>
      </c>
      <c r="N24" s="24" t="s">
        <v>266</v>
      </c>
      <c r="O24" s="17"/>
      <c r="P24" s="23" t="s">
        <v>12</v>
      </c>
      <c r="Q24" s="23" t="s">
        <v>44</v>
      </c>
      <c r="R24" s="23" t="s">
        <v>28</v>
      </c>
      <c r="S24" s="17"/>
      <c r="T24" s="17" t="str">
        <f>"295,0"</f>
        <v>295,0</v>
      </c>
      <c r="U24" s="17" t="str">
        <f>"367,4513"</f>
        <v>367,4513</v>
      </c>
      <c r="V24" s="18" t="s">
        <v>41</v>
      </c>
    </row>
    <row r="25" ht="12.75">
      <c r="B25" s="7" t="s">
        <v>218</v>
      </c>
    </row>
    <row r="26" spans="1:21" ht="15">
      <c r="A26" s="124" t="s">
        <v>1151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</row>
    <row r="27" spans="1:22" ht="12.75">
      <c r="A27" s="13" t="s">
        <v>217</v>
      </c>
      <c r="B27" s="13" t="s">
        <v>267</v>
      </c>
      <c r="C27" s="14" t="s">
        <v>1375</v>
      </c>
      <c r="D27" s="14" t="s">
        <v>268</v>
      </c>
      <c r="E27" s="14" t="str">
        <f>"1,1355"</f>
        <v>1,1355</v>
      </c>
      <c r="F27" s="14" t="s">
        <v>1540</v>
      </c>
      <c r="G27" s="14" t="s">
        <v>1539</v>
      </c>
      <c r="H27" s="16" t="s">
        <v>45</v>
      </c>
      <c r="I27" s="16" t="s">
        <v>29</v>
      </c>
      <c r="J27" s="15" t="s">
        <v>22</v>
      </c>
      <c r="K27" s="13"/>
      <c r="L27" s="15" t="s">
        <v>53</v>
      </c>
      <c r="M27" s="16" t="s">
        <v>266</v>
      </c>
      <c r="N27" s="16" t="s">
        <v>54</v>
      </c>
      <c r="O27" s="13"/>
      <c r="P27" s="16" t="s">
        <v>21</v>
      </c>
      <c r="Q27" s="16" t="s">
        <v>12</v>
      </c>
      <c r="R27" s="16" t="s">
        <v>34</v>
      </c>
      <c r="S27" s="13"/>
      <c r="T27" s="13" t="str">
        <f>"332,5"</f>
        <v>332,5</v>
      </c>
      <c r="U27" s="13" t="str">
        <f>"377,5537"</f>
        <v>377,5537</v>
      </c>
      <c r="V27" s="14" t="s">
        <v>41</v>
      </c>
    </row>
    <row r="28" spans="1:22" ht="12.75">
      <c r="A28" s="19" t="s">
        <v>217</v>
      </c>
      <c r="B28" s="19" t="s">
        <v>269</v>
      </c>
      <c r="C28" s="20" t="s">
        <v>1223</v>
      </c>
      <c r="D28" s="20" t="s">
        <v>270</v>
      </c>
      <c r="E28" s="20" t="str">
        <f>"1,1295"</f>
        <v>1,1295</v>
      </c>
      <c r="F28" s="20" t="s">
        <v>1522</v>
      </c>
      <c r="G28" s="20" t="s">
        <v>1567</v>
      </c>
      <c r="H28" s="22" t="s">
        <v>28</v>
      </c>
      <c r="I28" s="21" t="s">
        <v>28</v>
      </c>
      <c r="J28" s="22" t="s">
        <v>35</v>
      </c>
      <c r="K28" s="19"/>
      <c r="L28" s="21" t="s">
        <v>266</v>
      </c>
      <c r="M28" s="21" t="s">
        <v>54</v>
      </c>
      <c r="N28" s="21" t="s">
        <v>3</v>
      </c>
      <c r="O28" s="19"/>
      <c r="P28" s="21" t="s">
        <v>249</v>
      </c>
      <c r="Q28" s="22" t="s">
        <v>271</v>
      </c>
      <c r="R28" s="21" t="s">
        <v>272</v>
      </c>
      <c r="S28" s="19"/>
      <c r="T28" s="19" t="s">
        <v>1128</v>
      </c>
      <c r="U28" s="19" t="s">
        <v>1129</v>
      </c>
      <c r="V28" s="20" t="s">
        <v>251</v>
      </c>
    </row>
    <row r="29" spans="1:22" ht="12.75">
      <c r="A29" s="19" t="s">
        <v>220</v>
      </c>
      <c r="B29" s="19" t="s">
        <v>273</v>
      </c>
      <c r="C29" s="20" t="s">
        <v>1224</v>
      </c>
      <c r="D29" s="20" t="s">
        <v>274</v>
      </c>
      <c r="E29" s="20" t="str">
        <f>"1,1310"</f>
        <v>1,1310</v>
      </c>
      <c r="F29" s="20" t="s">
        <v>1522</v>
      </c>
      <c r="G29" s="20" t="s">
        <v>1606</v>
      </c>
      <c r="H29" s="21" t="s">
        <v>34</v>
      </c>
      <c r="I29" s="22" t="s">
        <v>44</v>
      </c>
      <c r="J29" s="22" t="s">
        <v>44</v>
      </c>
      <c r="K29" s="19"/>
      <c r="L29" s="21" t="s">
        <v>32</v>
      </c>
      <c r="M29" s="22" t="s">
        <v>33</v>
      </c>
      <c r="N29" s="21" t="s">
        <v>234</v>
      </c>
      <c r="O29" s="19"/>
      <c r="P29" s="21" t="s">
        <v>231</v>
      </c>
      <c r="Q29" s="22" t="s">
        <v>34</v>
      </c>
      <c r="R29" s="22" t="s">
        <v>34</v>
      </c>
      <c r="S29" s="19"/>
      <c r="T29" s="19" t="str">
        <f>"292,5"</f>
        <v>292,5</v>
      </c>
      <c r="U29" s="19" t="str">
        <f>"330,8175"</f>
        <v>330,8175</v>
      </c>
      <c r="V29" s="20" t="s">
        <v>317</v>
      </c>
    </row>
    <row r="30" spans="1:22" ht="12.75">
      <c r="A30" s="19" t="s">
        <v>221</v>
      </c>
      <c r="B30" s="19" t="s">
        <v>275</v>
      </c>
      <c r="C30" s="20" t="s">
        <v>1225</v>
      </c>
      <c r="D30" s="20" t="s">
        <v>274</v>
      </c>
      <c r="E30" s="20" t="str">
        <f>"1,1310"</f>
        <v>1,1310</v>
      </c>
      <c r="F30" s="20" t="s">
        <v>1522</v>
      </c>
      <c r="G30" s="20" t="s">
        <v>1607</v>
      </c>
      <c r="H30" s="21" t="s">
        <v>21</v>
      </c>
      <c r="I30" s="21" t="s">
        <v>39</v>
      </c>
      <c r="J30" s="22" t="s">
        <v>12</v>
      </c>
      <c r="K30" s="19"/>
      <c r="L30" s="21" t="s">
        <v>6</v>
      </c>
      <c r="M30" s="21" t="s">
        <v>238</v>
      </c>
      <c r="N30" s="22" t="s">
        <v>31</v>
      </c>
      <c r="O30" s="19"/>
      <c r="P30" s="21" t="s">
        <v>12</v>
      </c>
      <c r="Q30" s="22" t="s">
        <v>34</v>
      </c>
      <c r="R30" s="21" t="s">
        <v>34</v>
      </c>
      <c r="S30" s="19"/>
      <c r="T30" s="19" t="str">
        <f>"267,5"</f>
        <v>267,5</v>
      </c>
      <c r="U30" s="19" t="str">
        <f>"302,5425"</f>
        <v>302,5425</v>
      </c>
      <c r="V30" s="20" t="s">
        <v>291</v>
      </c>
    </row>
    <row r="31" spans="1:22" ht="12.75">
      <c r="A31" s="17" t="s">
        <v>222</v>
      </c>
      <c r="B31" s="17" t="s">
        <v>276</v>
      </c>
      <c r="C31" s="18" t="s">
        <v>1226</v>
      </c>
      <c r="D31" s="18" t="s">
        <v>277</v>
      </c>
      <c r="E31" s="18" t="str">
        <f>"0,8594"</f>
        <v>0,8594</v>
      </c>
      <c r="F31" s="18" t="s">
        <v>1522</v>
      </c>
      <c r="G31" s="18" t="s">
        <v>1608</v>
      </c>
      <c r="H31" s="23" t="s">
        <v>20</v>
      </c>
      <c r="I31" s="24" t="s">
        <v>278</v>
      </c>
      <c r="J31" s="24" t="s">
        <v>278</v>
      </c>
      <c r="K31" s="17"/>
      <c r="L31" s="23" t="s">
        <v>230</v>
      </c>
      <c r="M31" s="24" t="s">
        <v>254</v>
      </c>
      <c r="N31" s="24" t="s">
        <v>254</v>
      </c>
      <c r="O31" s="17"/>
      <c r="P31" s="23" t="s">
        <v>21</v>
      </c>
      <c r="Q31" s="23" t="s">
        <v>40</v>
      </c>
      <c r="R31" s="23" t="s">
        <v>249</v>
      </c>
      <c r="S31" s="17"/>
      <c r="T31" s="17" t="str">
        <f>"255,0"</f>
        <v>255,0</v>
      </c>
      <c r="U31" s="17" t="str">
        <f>"219,1470"</f>
        <v>219,1470</v>
      </c>
      <c r="V31" s="18" t="s">
        <v>41</v>
      </c>
    </row>
    <row r="32" ht="12.75">
      <c r="B32" s="7" t="s">
        <v>218</v>
      </c>
    </row>
    <row r="33" spans="1:21" ht="15">
      <c r="A33" s="124" t="s">
        <v>1152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2" ht="12.75">
      <c r="A34" s="13" t="s">
        <v>217</v>
      </c>
      <c r="B34" s="13" t="s">
        <v>279</v>
      </c>
      <c r="C34" s="14" t="s">
        <v>1376</v>
      </c>
      <c r="D34" s="14" t="s">
        <v>57</v>
      </c>
      <c r="E34" s="14" t="str">
        <f>"1,0515"</f>
        <v>1,0515</v>
      </c>
      <c r="F34" s="14" t="s">
        <v>1522</v>
      </c>
      <c r="G34" s="14" t="s">
        <v>1567</v>
      </c>
      <c r="H34" s="16" t="s">
        <v>21</v>
      </c>
      <c r="I34" s="15" t="s">
        <v>249</v>
      </c>
      <c r="J34" s="15" t="s">
        <v>249</v>
      </c>
      <c r="K34" s="13"/>
      <c r="L34" s="16" t="s">
        <v>53</v>
      </c>
      <c r="M34" s="15" t="s">
        <v>229</v>
      </c>
      <c r="N34" s="16" t="s">
        <v>229</v>
      </c>
      <c r="O34" s="13"/>
      <c r="P34" s="16" t="s">
        <v>21</v>
      </c>
      <c r="Q34" s="16" t="s">
        <v>280</v>
      </c>
      <c r="R34" s="16" t="s">
        <v>28</v>
      </c>
      <c r="S34" s="13"/>
      <c r="T34" s="13" t="str">
        <f>"295,0"</f>
        <v>295,0</v>
      </c>
      <c r="U34" s="13" t="str">
        <f>"310,1925"</f>
        <v>310,1925</v>
      </c>
      <c r="V34" s="14" t="s">
        <v>281</v>
      </c>
    </row>
    <row r="35" spans="1:22" ht="12.75">
      <c r="A35" s="19" t="s">
        <v>217</v>
      </c>
      <c r="B35" s="19" t="s">
        <v>282</v>
      </c>
      <c r="C35" s="20" t="s">
        <v>1227</v>
      </c>
      <c r="D35" s="20" t="s">
        <v>283</v>
      </c>
      <c r="E35" s="20" t="str">
        <f>"1,0385"</f>
        <v>1,0385</v>
      </c>
      <c r="F35" s="20" t="s">
        <v>1522</v>
      </c>
      <c r="G35" s="20" t="s">
        <v>1567</v>
      </c>
      <c r="H35" s="22" t="s">
        <v>231</v>
      </c>
      <c r="I35" s="21" t="s">
        <v>231</v>
      </c>
      <c r="J35" s="21" t="s">
        <v>34</v>
      </c>
      <c r="K35" s="19"/>
      <c r="L35" s="21" t="s">
        <v>229</v>
      </c>
      <c r="M35" s="22" t="s">
        <v>3</v>
      </c>
      <c r="N35" s="22" t="s">
        <v>3</v>
      </c>
      <c r="O35" s="19"/>
      <c r="P35" s="21" t="s">
        <v>34</v>
      </c>
      <c r="Q35" s="21" t="s">
        <v>44</v>
      </c>
      <c r="R35" s="21" t="s">
        <v>28</v>
      </c>
      <c r="S35" s="19"/>
      <c r="T35" s="19" t="str">
        <f>"315,0"</f>
        <v>315,0</v>
      </c>
      <c r="U35" s="19" t="str">
        <f>"327,1275"</f>
        <v>327,1275</v>
      </c>
      <c r="V35" s="20" t="s">
        <v>875</v>
      </c>
    </row>
    <row r="36" spans="1:22" ht="12.75">
      <c r="A36" s="19" t="s">
        <v>220</v>
      </c>
      <c r="B36" s="19" t="s">
        <v>284</v>
      </c>
      <c r="C36" s="20" t="s">
        <v>1228</v>
      </c>
      <c r="D36" s="20" t="s">
        <v>79</v>
      </c>
      <c r="E36" s="20" t="str">
        <f>"1,0374"</f>
        <v>1,0374</v>
      </c>
      <c r="F36" s="20" t="s">
        <v>1522</v>
      </c>
      <c r="G36" s="20" t="s">
        <v>1567</v>
      </c>
      <c r="H36" s="21" t="s">
        <v>12</v>
      </c>
      <c r="I36" s="22" t="s">
        <v>34</v>
      </c>
      <c r="J36" s="22" t="s">
        <v>34</v>
      </c>
      <c r="K36" s="19"/>
      <c r="L36" s="21" t="s">
        <v>33</v>
      </c>
      <c r="M36" s="21" t="s">
        <v>234</v>
      </c>
      <c r="N36" s="21" t="s">
        <v>53</v>
      </c>
      <c r="O36" s="19"/>
      <c r="P36" s="21" t="s">
        <v>12</v>
      </c>
      <c r="Q36" s="21" t="s">
        <v>34</v>
      </c>
      <c r="R36" s="22" t="s">
        <v>285</v>
      </c>
      <c r="S36" s="19"/>
      <c r="T36" s="19" t="str">
        <f>"290,0"</f>
        <v>290,0</v>
      </c>
      <c r="U36" s="19" t="str">
        <f>"300,8460"</f>
        <v>300,8460</v>
      </c>
      <c r="V36" s="20" t="s">
        <v>286</v>
      </c>
    </row>
    <row r="37" spans="1:22" ht="12.75">
      <c r="A37" s="19" t="s">
        <v>221</v>
      </c>
      <c r="B37" s="19" t="s">
        <v>287</v>
      </c>
      <c r="C37" s="20" t="s">
        <v>1229</v>
      </c>
      <c r="D37" s="20" t="s">
        <v>288</v>
      </c>
      <c r="E37" s="20" t="str">
        <f>"1,0339"</f>
        <v>1,0339</v>
      </c>
      <c r="F37" s="20" t="s">
        <v>1522</v>
      </c>
      <c r="G37" s="20" t="s">
        <v>1604</v>
      </c>
      <c r="H37" s="21" t="s">
        <v>20</v>
      </c>
      <c r="I37" s="21" t="s">
        <v>39</v>
      </c>
      <c r="J37" s="21" t="s">
        <v>40</v>
      </c>
      <c r="K37" s="19"/>
      <c r="L37" s="21" t="s">
        <v>230</v>
      </c>
      <c r="M37" s="21" t="s">
        <v>254</v>
      </c>
      <c r="N37" s="22" t="s">
        <v>33</v>
      </c>
      <c r="O37" s="19"/>
      <c r="P37" s="21" t="s">
        <v>19</v>
      </c>
      <c r="Q37" s="22" t="s">
        <v>71</v>
      </c>
      <c r="R37" s="21" t="s">
        <v>278</v>
      </c>
      <c r="S37" s="19"/>
      <c r="T37" s="19" t="str">
        <f>"262,5"</f>
        <v>262,5</v>
      </c>
      <c r="U37" s="19" t="str">
        <f>"271,3988"</f>
        <v>271,3988</v>
      </c>
      <c r="V37" s="20" t="s">
        <v>263</v>
      </c>
    </row>
    <row r="38" spans="1:22" ht="12.75">
      <c r="A38" s="17" t="s">
        <v>217</v>
      </c>
      <c r="B38" s="17" t="s">
        <v>289</v>
      </c>
      <c r="C38" s="18" t="s">
        <v>1405</v>
      </c>
      <c r="D38" s="18" t="s">
        <v>290</v>
      </c>
      <c r="E38" s="18" t="str">
        <f>"1,0239"</f>
        <v>1,0239</v>
      </c>
      <c r="F38" s="18" t="s">
        <v>1522</v>
      </c>
      <c r="G38" s="18" t="s">
        <v>1607</v>
      </c>
      <c r="H38" s="23" t="s">
        <v>20</v>
      </c>
      <c r="I38" s="23" t="s">
        <v>21</v>
      </c>
      <c r="J38" s="24" t="s">
        <v>39</v>
      </c>
      <c r="K38" s="17"/>
      <c r="L38" s="23" t="s">
        <v>254</v>
      </c>
      <c r="M38" s="23" t="s">
        <v>234</v>
      </c>
      <c r="N38" s="24" t="s">
        <v>53</v>
      </c>
      <c r="O38" s="17"/>
      <c r="P38" s="24" t="s">
        <v>34</v>
      </c>
      <c r="Q38" s="23" t="s">
        <v>34</v>
      </c>
      <c r="R38" s="24" t="s">
        <v>28</v>
      </c>
      <c r="S38" s="17"/>
      <c r="T38" s="17" t="str">
        <f>"277,5"</f>
        <v>277,5</v>
      </c>
      <c r="U38" s="17" t="str">
        <f>"306,2946"</f>
        <v>306,2946</v>
      </c>
      <c r="V38" s="18" t="s">
        <v>291</v>
      </c>
    </row>
    <row r="39" ht="12.75">
      <c r="B39" s="7" t="s">
        <v>218</v>
      </c>
    </row>
    <row r="40" spans="1:21" ht="15">
      <c r="A40" s="124" t="s">
        <v>1153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</row>
    <row r="41" spans="1:22" ht="12.75">
      <c r="A41" s="8" t="s">
        <v>217</v>
      </c>
      <c r="B41" s="8" t="s">
        <v>292</v>
      </c>
      <c r="C41" s="9" t="s">
        <v>1377</v>
      </c>
      <c r="D41" s="9" t="s">
        <v>293</v>
      </c>
      <c r="E41" s="9" t="str">
        <f>"0,9725"</f>
        <v>0,9725</v>
      </c>
      <c r="F41" s="9" t="s">
        <v>1522</v>
      </c>
      <c r="G41" s="9" t="s">
        <v>1609</v>
      </c>
      <c r="H41" s="11" t="s">
        <v>20</v>
      </c>
      <c r="I41" s="10" t="s">
        <v>20</v>
      </c>
      <c r="J41" s="10" t="s">
        <v>278</v>
      </c>
      <c r="K41" s="8"/>
      <c r="L41" s="10" t="s">
        <v>31</v>
      </c>
      <c r="M41" s="11" t="s">
        <v>32</v>
      </c>
      <c r="N41" s="10" t="s">
        <v>32</v>
      </c>
      <c r="O41" s="8"/>
      <c r="P41" s="10" t="s">
        <v>231</v>
      </c>
      <c r="Q41" s="11" t="s">
        <v>250</v>
      </c>
      <c r="R41" s="11" t="s">
        <v>250</v>
      </c>
      <c r="S41" s="8"/>
      <c r="T41" s="8" t="str">
        <f>"267,5"</f>
        <v>267,5</v>
      </c>
      <c r="U41" s="8" t="str">
        <f>"260,1438"</f>
        <v>260,1438</v>
      </c>
      <c r="V41" s="9" t="s">
        <v>876</v>
      </c>
    </row>
    <row r="42" ht="12.75">
      <c r="B42" s="7" t="s">
        <v>218</v>
      </c>
    </row>
    <row r="43" spans="1:21" ht="15">
      <c r="A43" s="124" t="s">
        <v>1151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2" ht="12.75">
      <c r="A44" s="13" t="s">
        <v>217</v>
      </c>
      <c r="B44" s="13" t="s">
        <v>294</v>
      </c>
      <c r="C44" s="14" t="s">
        <v>1460</v>
      </c>
      <c r="D44" s="14" t="s">
        <v>295</v>
      </c>
      <c r="E44" s="14" t="str">
        <f>"0,8581"</f>
        <v>0,8581</v>
      </c>
      <c r="F44" s="14" t="s">
        <v>1691</v>
      </c>
      <c r="G44" s="14" t="s">
        <v>871</v>
      </c>
      <c r="H44" s="16" t="s">
        <v>39</v>
      </c>
      <c r="I44" s="16" t="s">
        <v>249</v>
      </c>
      <c r="J44" s="16" t="s">
        <v>34</v>
      </c>
      <c r="K44" s="13"/>
      <c r="L44" s="16" t="s">
        <v>33</v>
      </c>
      <c r="M44" s="16" t="s">
        <v>53</v>
      </c>
      <c r="N44" s="16" t="s">
        <v>266</v>
      </c>
      <c r="O44" s="13"/>
      <c r="P44" s="16" t="s">
        <v>285</v>
      </c>
      <c r="Q44" s="16" t="s">
        <v>45</v>
      </c>
      <c r="R44" s="15" t="s">
        <v>35</v>
      </c>
      <c r="S44" s="13"/>
      <c r="T44" s="13" t="str">
        <f>"317,5"</f>
        <v>317,5</v>
      </c>
      <c r="U44" s="13" t="str">
        <f>"272,4467"</f>
        <v>272,4467</v>
      </c>
      <c r="V44" s="14" t="s">
        <v>151</v>
      </c>
    </row>
    <row r="45" spans="1:22" ht="12.75">
      <c r="A45" s="19" t="s">
        <v>219</v>
      </c>
      <c r="B45" s="19" t="s">
        <v>296</v>
      </c>
      <c r="C45" s="20" t="s">
        <v>1461</v>
      </c>
      <c r="D45" s="20" t="s">
        <v>297</v>
      </c>
      <c r="E45" s="20" t="str">
        <f>"0,8621"</f>
        <v>0,8621</v>
      </c>
      <c r="F45" s="20" t="s">
        <v>1522</v>
      </c>
      <c r="G45" s="20" t="s">
        <v>1610</v>
      </c>
      <c r="H45" s="22" t="s">
        <v>29</v>
      </c>
      <c r="I45" s="22" t="s">
        <v>29</v>
      </c>
      <c r="J45" s="22" t="s">
        <v>29</v>
      </c>
      <c r="K45" s="19"/>
      <c r="L45" s="22"/>
      <c r="M45" s="19"/>
      <c r="N45" s="19"/>
      <c r="O45" s="19"/>
      <c r="P45" s="22"/>
      <c r="Q45" s="19"/>
      <c r="R45" s="19"/>
      <c r="S45" s="19"/>
      <c r="T45" s="19" t="str">
        <f>"0,0"</f>
        <v>0,0</v>
      </c>
      <c r="U45" s="19" t="str">
        <f>"0,0000"</f>
        <v>0,0000</v>
      </c>
      <c r="V45" s="20" t="s">
        <v>41</v>
      </c>
    </row>
    <row r="46" spans="1:22" ht="12.75">
      <c r="A46" s="19" t="s">
        <v>217</v>
      </c>
      <c r="B46" s="19" t="s">
        <v>298</v>
      </c>
      <c r="C46" s="20" t="s">
        <v>1487</v>
      </c>
      <c r="D46" s="20" t="s">
        <v>277</v>
      </c>
      <c r="E46" s="20" t="str">
        <f>"0,8594"</f>
        <v>0,8594</v>
      </c>
      <c r="F46" s="20" t="s">
        <v>1522</v>
      </c>
      <c r="G46" s="20" t="s">
        <v>1611</v>
      </c>
      <c r="H46" s="21" t="s">
        <v>30</v>
      </c>
      <c r="I46" s="22" t="s">
        <v>17</v>
      </c>
      <c r="J46" s="22" t="s">
        <v>17</v>
      </c>
      <c r="K46" s="19"/>
      <c r="L46" s="21" t="s">
        <v>21</v>
      </c>
      <c r="M46" s="22" t="s">
        <v>39</v>
      </c>
      <c r="N46" s="22" t="s">
        <v>39</v>
      </c>
      <c r="O46" s="19"/>
      <c r="P46" s="21" t="s">
        <v>17</v>
      </c>
      <c r="Q46" s="22" t="s">
        <v>18</v>
      </c>
      <c r="R46" s="21" t="s">
        <v>18</v>
      </c>
      <c r="S46" s="19"/>
      <c r="T46" s="19" t="str">
        <f>"420,0"</f>
        <v>420,0</v>
      </c>
      <c r="U46" s="19" t="str">
        <f>"360,9480"</f>
        <v>360,9480</v>
      </c>
      <c r="V46" s="20" t="s">
        <v>41</v>
      </c>
    </row>
    <row r="47" spans="1:22" ht="12.75">
      <c r="A47" s="19" t="s">
        <v>220</v>
      </c>
      <c r="B47" s="19" t="s">
        <v>299</v>
      </c>
      <c r="C47" s="20" t="s">
        <v>1488</v>
      </c>
      <c r="D47" s="20" t="s">
        <v>300</v>
      </c>
      <c r="E47" s="20" t="str">
        <f>"0,9041"</f>
        <v>0,9041</v>
      </c>
      <c r="F47" s="20" t="s">
        <v>1556</v>
      </c>
      <c r="G47" s="20" t="s">
        <v>1557</v>
      </c>
      <c r="H47" s="21" t="s">
        <v>28</v>
      </c>
      <c r="I47" s="22" t="s">
        <v>29</v>
      </c>
      <c r="J47" s="21" t="s">
        <v>29</v>
      </c>
      <c r="K47" s="19"/>
      <c r="L47" s="21" t="s">
        <v>58</v>
      </c>
      <c r="M47" s="21" t="s">
        <v>4</v>
      </c>
      <c r="N47" s="22" t="s">
        <v>7</v>
      </c>
      <c r="O47" s="19"/>
      <c r="P47" s="21" t="s">
        <v>18</v>
      </c>
      <c r="Q47" s="21" t="s">
        <v>76</v>
      </c>
      <c r="R47" s="22" t="s">
        <v>163</v>
      </c>
      <c r="S47" s="19"/>
      <c r="T47" s="19" t="str">
        <f>"405,0"</f>
        <v>405,0</v>
      </c>
      <c r="U47" s="19" t="str">
        <f>"366,1605"</f>
        <v>366,1605</v>
      </c>
      <c r="V47" s="20" t="s">
        <v>390</v>
      </c>
    </row>
    <row r="48" spans="1:22" ht="12.75">
      <c r="A48" s="17" t="s">
        <v>219</v>
      </c>
      <c r="B48" s="17" t="s">
        <v>296</v>
      </c>
      <c r="C48" s="18" t="s">
        <v>1230</v>
      </c>
      <c r="D48" s="18" t="s">
        <v>297</v>
      </c>
      <c r="E48" s="18" t="str">
        <f>"0,8621"</f>
        <v>0,8621</v>
      </c>
      <c r="F48" s="18" t="s">
        <v>1522</v>
      </c>
      <c r="G48" s="18" t="s">
        <v>1610</v>
      </c>
      <c r="H48" s="24" t="s">
        <v>29</v>
      </c>
      <c r="I48" s="24" t="s">
        <v>29</v>
      </c>
      <c r="J48" s="24" t="s">
        <v>29</v>
      </c>
      <c r="K48" s="17"/>
      <c r="L48" s="24"/>
      <c r="M48" s="17"/>
      <c r="N48" s="17"/>
      <c r="O48" s="17"/>
      <c r="P48" s="24"/>
      <c r="Q48" s="17"/>
      <c r="R48" s="17"/>
      <c r="S48" s="17"/>
      <c r="T48" s="17" t="str">
        <f>"0,0"</f>
        <v>0,0</v>
      </c>
      <c r="U48" s="17" t="str">
        <f>"0,0000"</f>
        <v>0,0000</v>
      </c>
      <c r="V48" s="18" t="s">
        <v>41</v>
      </c>
    </row>
    <row r="49" ht="12.75">
      <c r="B49" s="7" t="s">
        <v>218</v>
      </c>
    </row>
    <row r="50" spans="1:21" ht="15">
      <c r="A50" s="124" t="s">
        <v>1152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.75">
      <c r="A51" s="13" t="s">
        <v>217</v>
      </c>
      <c r="B51" s="13" t="s">
        <v>301</v>
      </c>
      <c r="C51" s="14" t="s">
        <v>1462</v>
      </c>
      <c r="D51" s="14" t="s">
        <v>302</v>
      </c>
      <c r="E51" s="14" t="str">
        <f>"0,8353"</f>
        <v>0,8353</v>
      </c>
      <c r="F51" s="14" t="s">
        <v>1522</v>
      </c>
      <c r="G51" s="14" t="s">
        <v>1612</v>
      </c>
      <c r="H51" s="16" t="s">
        <v>34</v>
      </c>
      <c r="I51" s="16" t="s">
        <v>28</v>
      </c>
      <c r="J51" s="16" t="s">
        <v>35</v>
      </c>
      <c r="K51" s="13"/>
      <c r="L51" s="16" t="s">
        <v>3</v>
      </c>
      <c r="M51" s="16" t="s">
        <v>58</v>
      </c>
      <c r="N51" s="16" t="s">
        <v>4</v>
      </c>
      <c r="O51" s="13"/>
      <c r="P51" s="16" t="s">
        <v>12</v>
      </c>
      <c r="Q51" s="16" t="s">
        <v>34</v>
      </c>
      <c r="R51" s="16" t="s">
        <v>28</v>
      </c>
      <c r="S51" s="13"/>
      <c r="T51" s="13" t="str">
        <f>"350,0"</f>
        <v>350,0</v>
      </c>
      <c r="U51" s="13" t="str">
        <f>"292,3550"</f>
        <v>292,3550</v>
      </c>
      <c r="V51" s="14" t="s">
        <v>303</v>
      </c>
    </row>
    <row r="52" spans="1:22" ht="12.75">
      <c r="A52" s="19" t="s">
        <v>217</v>
      </c>
      <c r="B52" s="19" t="s">
        <v>304</v>
      </c>
      <c r="C52" s="20" t="s">
        <v>1463</v>
      </c>
      <c r="D52" s="20" t="s">
        <v>305</v>
      </c>
      <c r="E52" s="20" t="str">
        <f>"0,7747"</f>
        <v>0,7747</v>
      </c>
      <c r="F52" s="20" t="s">
        <v>1522</v>
      </c>
      <c r="G52" s="20" t="s">
        <v>1613</v>
      </c>
      <c r="H52" s="21" t="s">
        <v>64</v>
      </c>
      <c r="I52" s="21" t="s">
        <v>91</v>
      </c>
      <c r="J52" s="21" t="s">
        <v>84</v>
      </c>
      <c r="K52" s="19"/>
      <c r="L52" s="21" t="s">
        <v>12</v>
      </c>
      <c r="M52" s="21" t="s">
        <v>231</v>
      </c>
      <c r="N52" s="22" t="s">
        <v>34</v>
      </c>
      <c r="O52" s="19"/>
      <c r="P52" s="21" t="s">
        <v>95</v>
      </c>
      <c r="Q52" s="21" t="s">
        <v>96</v>
      </c>
      <c r="R52" s="22" t="s">
        <v>115</v>
      </c>
      <c r="S52" s="19"/>
      <c r="T52" s="19" t="str">
        <f>"565,0"</f>
        <v>565,0</v>
      </c>
      <c r="U52" s="19" t="str">
        <f>"437,7055"</f>
        <v>437,7055</v>
      </c>
      <c r="V52" s="20" t="s">
        <v>877</v>
      </c>
    </row>
    <row r="53" spans="1:22" ht="12.75">
      <c r="A53" s="19" t="s">
        <v>217</v>
      </c>
      <c r="B53" s="19" t="s">
        <v>81</v>
      </c>
      <c r="C53" s="20" t="s">
        <v>1489</v>
      </c>
      <c r="D53" s="20" t="s">
        <v>306</v>
      </c>
      <c r="E53" s="20" t="str">
        <f>"0,8014"</f>
        <v>0,8014</v>
      </c>
      <c r="F53" s="20" t="s">
        <v>1693</v>
      </c>
      <c r="G53" s="20" t="s">
        <v>872</v>
      </c>
      <c r="H53" s="21" t="s">
        <v>128</v>
      </c>
      <c r="I53" s="21" t="s">
        <v>83</v>
      </c>
      <c r="J53" s="22" t="s">
        <v>96</v>
      </c>
      <c r="K53" s="19"/>
      <c r="L53" s="21" t="s">
        <v>34</v>
      </c>
      <c r="M53" s="22" t="s">
        <v>44</v>
      </c>
      <c r="N53" s="21" t="s">
        <v>44</v>
      </c>
      <c r="O53" s="19"/>
      <c r="P53" s="21" t="s">
        <v>307</v>
      </c>
      <c r="Q53" s="21" t="s">
        <v>84</v>
      </c>
      <c r="R53" s="22" t="s">
        <v>128</v>
      </c>
      <c r="S53" s="19"/>
      <c r="T53" s="19" t="str">
        <f>"570,0"</f>
        <v>570,0</v>
      </c>
      <c r="U53" s="19" t="str">
        <f>"456,7980"</f>
        <v>456,7980</v>
      </c>
      <c r="V53" s="20" t="s">
        <v>41</v>
      </c>
    </row>
    <row r="54" spans="1:22" ht="12.75">
      <c r="A54" s="19" t="s">
        <v>217</v>
      </c>
      <c r="B54" s="19" t="s">
        <v>81</v>
      </c>
      <c r="C54" s="20" t="s">
        <v>1231</v>
      </c>
      <c r="D54" s="20" t="s">
        <v>306</v>
      </c>
      <c r="E54" s="20" t="str">
        <f>"0,8014"</f>
        <v>0,8014</v>
      </c>
      <c r="F54" s="20" t="s">
        <v>1693</v>
      </c>
      <c r="G54" s="20" t="s">
        <v>873</v>
      </c>
      <c r="H54" s="21" t="s">
        <v>128</v>
      </c>
      <c r="I54" s="21" t="s">
        <v>83</v>
      </c>
      <c r="J54" s="22" t="s">
        <v>96</v>
      </c>
      <c r="K54" s="19"/>
      <c r="L54" s="21" t="s">
        <v>34</v>
      </c>
      <c r="M54" s="22" t="s">
        <v>44</v>
      </c>
      <c r="N54" s="21" t="s">
        <v>44</v>
      </c>
      <c r="O54" s="19"/>
      <c r="P54" s="21" t="s">
        <v>307</v>
      </c>
      <c r="Q54" s="21" t="s">
        <v>84</v>
      </c>
      <c r="R54" s="22" t="s">
        <v>128</v>
      </c>
      <c r="S54" s="19"/>
      <c r="T54" s="19" t="str">
        <f>"570,0"</f>
        <v>570,0</v>
      </c>
      <c r="U54" s="19" t="str">
        <f>"456,7980"</f>
        <v>456,7980</v>
      </c>
      <c r="V54" s="20" t="s">
        <v>41</v>
      </c>
    </row>
    <row r="55" spans="1:22" ht="12.75">
      <c r="A55" s="19" t="s">
        <v>220</v>
      </c>
      <c r="B55" s="19" t="s">
        <v>304</v>
      </c>
      <c r="C55" s="20" t="s">
        <v>1232</v>
      </c>
      <c r="D55" s="20" t="s">
        <v>305</v>
      </c>
      <c r="E55" s="20" t="str">
        <f>"0,7747"</f>
        <v>0,7747</v>
      </c>
      <c r="F55" s="20" t="s">
        <v>1522</v>
      </c>
      <c r="G55" s="20" t="s">
        <v>1613</v>
      </c>
      <c r="H55" s="21" t="s">
        <v>64</v>
      </c>
      <c r="I55" s="21" t="s">
        <v>91</v>
      </c>
      <c r="J55" s="21" t="s">
        <v>84</v>
      </c>
      <c r="K55" s="19"/>
      <c r="L55" s="21" t="s">
        <v>12</v>
      </c>
      <c r="M55" s="21" t="s">
        <v>231</v>
      </c>
      <c r="N55" s="22" t="s">
        <v>34</v>
      </c>
      <c r="O55" s="19"/>
      <c r="P55" s="21" t="s">
        <v>95</v>
      </c>
      <c r="Q55" s="21" t="s">
        <v>96</v>
      </c>
      <c r="R55" s="22" t="s">
        <v>115</v>
      </c>
      <c r="S55" s="19"/>
      <c r="T55" s="19" t="str">
        <f>"565,0"</f>
        <v>565,0</v>
      </c>
      <c r="U55" s="19" t="str">
        <f>"437,7055"</f>
        <v>437,7055</v>
      </c>
      <c r="V55" s="20" t="s">
        <v>877</v>
      </c>
    </row>
    <row r="56" spans="1:22" ht="12.75">
      <c r="A56" s="17" t="s">
        <v>221</v>
      </c>
      <c r="B56" s="17" t="s">
        <v>308</v>
      </c>
      <c r="C56" s="18" t="s">
        <v>1233</v>
      </c>
      <c r="D56" s="18" t="s">
        <v>309</v>
      </c>
      <c r="E56" s="18" t="str">
        <f>"0,7911"</f>
        <v>0,7911</v>
      </c>
      <c r="F56" s="18" t="s">
        <v>1556</v>
      </c>
      <c r="G56" s="18" t="s">
        <v>1557</v>
      </c>
      <c r="H56" s="24" t="s">
        <v>28</v>
      </c>
      <c r="I56" s="24" t="s">
        <v>28</v>
      </c>
      <c r="J56" s="23" t="s">
        <v>28</v>
      </c>
      <c r="K56" s="17"/>
      <c r="L56" s="23" t="s">
        <v>32</v>
      </c>
      <c r="M56" s="23" t="s">
        <v>234</v>
      </c>
      <c r="N56" s="24" t="s">
        <v>266</v>
      </c>
      <c r="O56" s="17"/>
      <c r="P56" s="23" t="s">
        <v>12</v>
      </c>
      <c r="Q56" s="23" t="s">
        <v>35</v>
      </c>
      <c r="R56" s="24" t="s">
        <v>17</v>
      </c>
      <c r="S56" s="17"/>
      <c r="T56" s="17" t="str">
        <f>"327,5"</f>
        <v>327,5</v>
      </c>
      <c r="U56" s="17" t="str">
        <f>"259,0853"</f>
        <v>259,0853</v>
      </c>
      <c r="V56" s="18" t="s">
        <v>390</v>
      </c>
    </row>
    <row r="57" ht="12.75">
      <c r="B57" s="7" t="s">
        <v>218</v>
      </c>
    </row>
    <row r="58" spans="1:21" ht="15">
      <c r="A58" s="124" t="s">
        <v>1153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</row>
    <row r="59" spans="1:22" ht="12.75">
      <c r="A59" s="13" t="s">
        <v>217</v>
      </c>
      <c r="B59" s="13" t="s">
        <v>310</v>
      </c>
      <c r="C59" s="14" t="s">
        <v>1490</v>
      </c>
      <c r="D59" s="14" t="s">
        <v>311</v>
      </c>
      <c r="E59" s="14" t="str">
        <f>"0,7256"</f>
        <v>0,7256</v>
      </c>
      <c r="F59" s="14" t="s">
        <v>1522</v>
      </c>
      <c r="G59" s="14" t="s">
        <v>1614</v>
      </c>
      <c r="H59" s="16" t="s">
        <v>124</v>
      </c>
      <c r="I59" s="16" t="s">
        <v>105</v>
      </c>
      <c r="J59" s="15" t="s">
        <v>106</v>
      </c>
      <c r="K59" s="13"/>
      <c r="L59" s="16" t="s">
        <v>34</v>
      </c>
      <c r="M59" s="16" t="s">
        <v>28</v>
      </c>
      <c r="N59" s="15" t="s">
        <v>35</v>
      </c>
      <c r="O59" s="13"/>
      <c r="P59" s="16" t="s">
        <v>63</v>
      </c>
      <c r="Q59" s="15" t="s">
        <v>115</v>
      </c>
      <c r="R59" s="16" t="s">
        <v>115</v>
      </c>
      <c r="S59" s="13"/>
      <c r="T59" s="13" t="str">
        <f>"632,5"</f>
        <v>632,5</v>
      </c>
      <c r="U59" s="13" t="str">
        <f>"458,9420"</f>
        <v>458,9420</v>
      </c>
      <c r="V59" s="14" t="s">
        <v>878</v>
      </c>
    </row>
    <row r="60" spans="1:22" ht="12.75">
      <c r="A60" s="19" t="s">
        <v>220</v>
      </c>
      <c r="B60" s="19" t="s">
        <v>867</v>
      </c>
      <c r="C60" s="20" t="s">
        <v>1491</v>
      </c>
      <c r="D60" s="20" t="s">
        <v>60</v>
      </c>
      <c r="E60" s="20" t="str">
        <f>"0,7221"</f>
        <v>0,7221</v>
      </c>
      <c r="F60" s="20" t="s">
        <v>1556</v>
      </c>
      <c r="G60" s="20" t="s">
        <v>1557</v>
      </c>
      <c r="H60" s="21" t="s">
        <v>190</v>
      </c>
      <c r="I60" s="22" t="s">
        <v>307</v>
      </c>
      <c r="J60" s="21" t="s">
        <v>307</v>
      </c>
      <c r="K60" s="19"/>
      <c r="L60" s="22" t="s">
        <v>45</v>
      </c>
      <c r="M60" s="21" t="s">
        <v>45</v>
      </c>
      <c r="N60" s="22" t="s">
        <v>35</v>
      </c>
      <c r="O60" s="19"/>
      <c r="P60" s="22" t="s">
        <v>84</v>
      </c>
      <c r="Q60" s="21" t="s">
        <v>84</v>
      </c>
      <c r="R60" s="22" t="s">
        <v>83</v>
      </c>
      <c r="S60" s="19"/>
      <c r="T60" s="19" t="str">
        <f>"557,5"</f>
        <v>557,5</v>
      </c>
      <c r="U60" s="19" t="str">
        <f>"402,5708"</f>
        <v>402,5708</v>
      </c>
      <c r="V60" s="20" t="s">
        <v>41</v>
      </c>
    </row>
    <row r="61" spans="1:22" ht="12.75">
      <c r="A61" s="19" t="s">
        <v>217</v>
      </c>
      <c r="B61" s="19" t="s">
        <v>310</v>
      </c>
      <c r="C61" s="20" t="s">
        <v>1234</v>
      </c>
      <c r="D61" s="20" t="s">
        <v>311</v>
      </c>
      <c r="E61" s="20" t="str">
        <f>"0,7256"</f>
        <v>0,7256</v>
      </c>
      <c r="F61" s="20" t="s">
        <v>257</v>
      </c>
      <c r="G61" s="20" t="s">
        <v>1614</v>
      </c>
      <c r="H61" s="21" t="s">
        <v>124</v>
      </c>
      <c r="I61" s="21" t="s">
        <v>105</v>
      </c>
      <c r="J61" s="22" t="s">
        <v>106</v>
      </c>
      <c r="K61" s="19"/>
      <c r="L61" s="21" t="s">
        <v>34</v>
      </c>
      <c r="M61" s="21" t="s">
        <v>28</v>
      </c>
      <c r="N61" s="22" t="s">
        <v>35</v>
      </c>
      <c r="O61" s="19"/>
      <c r="P61" s="21" t="s">
        <v>63</v>
      </c>
      <c r="Q61" s="22" t="s">
        <v>115</v>
      </c>
      <c r="R61" s="21" t="s">
        <v>115</v>
      </c>
      <c r="S61" s="19"/>
      <c r="T61" s="19" t="str">
        <f>"632,5"</f>
        <v>632,5</v>
      </c>
      <c r="U61" s="19" t="str">
        <f>"458,9420"</f>
        <v>458,9420</v>
      </c>
      <c r="V61" s="20" t="s">
        <v>878</v>
      </c>
    </row>
    <row r="62" spans="1:22" ht="12.75">
      <c r="A62" s="19" t="s">
        <v>220</v>
      </c>
      <c r="B62" s="19" t="s">
        <v>312</v>
      </c>
      <c r="C62" s="20" t="s">
        <v>1235</v>
      </c>
      <c r="D62" s="20" t="s">
        <v>313</v>
      </c>
      <c r="E62" s="20" t="str">
        <f>"0,7159"</f>
        <v>0,7159</v>
      </c>
      <c r="F62" s="20" t="s">
        <v>1547</v>
      </c>
      <c r="G62" s="20" t="s">
        <v>1550</v>
      </c>
      <c r="H62" s="21" t="s">
        <v>95</v>
      </c>
      <c r="I62" s="22" t="s">
        <v>96</v>
      </c>
      <c r="J62" s="21" t="s">
        <v>96</v>
      </c>
      <c r="K62" s="19"/>
      <c r="L62" s="21" t="s">
        <v>44</v>
      </c>
      <c r="M62" s="21" t="s">
        <v>113</v>
      </c>
      <c r="N62" s="21" t="s">
        <v>45</v>
      </c>
      <c r="O62" s="19"/>
      <c r="P62" s="21" t="s">
        <v>95</v>
      </c>
      <c r="Q62" s="21" t="s">
        <v>96</v>
      </c>
      <c r="R62" s="21" t="s">
        <v>115</v>
      </c>
      <c r="S62" s="19"/>
      <c r="T62" s="19" t="str">
        <f>"612,5"</f>
        <v>612,5</v>
      </c>
      <c r="U62" s="19" t="str">
        <f>"438,4888"</f>
        <v>438,4888</v>
      </c>
      <c r="V62" s="20" t="s">
        <v>41</v>
      </c>
    </row>
    <row r="63" spans="1:22" ht="12.75">
      <c r="A63" s="19" t="s">
        <v>221</v>
      </c>
      <c r="B63" s="19" t="s">
        <v>314</v>
      </c>
      <c r="C63" s="20" t="s">
        <v>1236</v>
      </c>
      <c r="D63" s="20" t="s">
        <v>112</v>
      </c>
      <c r="E63" s="20" t="str">
        <f>"0,7193"</f>
        <v>0,7193</v>
      </c>
      <c r="F63" s="20" t="s">
        <v>1522</v>
      </c>
      <c r="G63" s="20" t="s">
        <v>1567</v>
      </c>
      <c r="H63" s="21" t="s">
        <v>64</v>
      </c>
      <c r="I63" s="21" t="s">
        <v>91</v>
      </c>
      <c r="J63" s="21" t="s">
        <v>66</v>
      </c>
      <c r="K63" s="19"/>
      <c r="L63" s="21" t="s">
        <v>34</v>
      </c>
      <c r="M63" s="21" t="s">
        <v>28</v>
      </c>
      <c r="N63" s="22" t="s">
        <v>114</v>
      </c>
      <c r="O63" s="19"/>
      <c r="P63" s="22" t="s">
        <v>63</v>
      </c>
      <c r="Q63" s="21" t="s">
        <v>63</v>
      </c>
      <c r="R63" s="22" t="s">
        <v>83</v>
      </c>
      <c r="S63" s="19"/>
      <c r="T63" s="19" t="str">
        <f>"560,0"</f>
        <v>560,0</v>
      </c>
      <c r="U63" s="19" t="str">
        <f>"402,8080"</f>
        <v>402,8080</v>
      </c>
      <c r="V63" s="20" t="s">
        <v>41</v>
      </c>
    </row>
    <row r="64" spans="1:22" ht="12.75">
      <c r="A64" s="19" t="s">
        <v>222</v>
      </c>
      <c r="B64" s="19" t="s">
        <v>315</v>
      </c>
      <c r="C64" s="20" t="s">
        <v>1237</v>
      </c>
      <c r="D64" s="20" t="s">
        <v>316</v>
      </c>
      <c r="E64" s="20" t="str">
        <f>"0,7179"</f>
        <v>0,7179</v>
      </c>
      <c r="F64" s="20" t="s">
        <v>1522</v>
      </c>
      <c r="G64" s="20" t="s">
        <v>1606</v>
      </c>
      <c r="H64" s="21" t="s">
        <v>91</v>
      </c>
      <c r="I64" s="21" t="s">
        <v>62</v>
      </c>
      <c r="J64" s="21" t="s">
        <v>63</v>
      </c>
      <c r="K64" s="19"/>
      <c r="L64" s="21" t="s">
        <v>285</v>
      </c>
      <c r="M64" s="22" t="s">
        <v>113</v>
      </c>
      <c r="N64" s="22" t="s">
        <v>113</v>
      </c>
      <c r="O64" s="19"/>
      <c r="P64" s="21" t="s">
        <v>76</v>
      </c>
      <c r="Q64" s="21" t="s">
        <v>64</v>
      </c>
      <c r="R64" s="22" t="s">
        <v>65</v>
      </c>
      <c r="S64" s="19"/>
      <c r="T64" s="19" t="str">
        <f>"537,5"</f>
        <v>537,5</v>
      </c>
      <c r="U64" s="19" t="str">
        <f>"385,8712"</f>
        <v>385,8712</v>
      </c>
      <c r="V64" s="20" t="s">
        <v>317</v>
      </c>
    </row>
    <row r="65" spans="1:22" ht="12.75">
      <c r="A65" s="19" t="s">
        <v>223</v>
      </c>
      <c r="B65" s="19" t="s">
        <v>318</v>
      </c>
      <c r="C65" s="20" t="s">
        <v>1238</v>
      </c>
      <c r="D65" s="20" t="s">
        <v>293</v>
      </c>
      <c r="E65" s="20" t="str">
        <f>"0,7307"</f>
        <v>0,7307</v>
      </c>
      <c r="F65" s="20" t="s">
        <v>1522</v>
      </c>
      <c r="G65" s="20" t="s">
        <v>1567</v>
      </c>
      <c r="H65" s="21" t="s">
        <v>65</v>
      </c>
      <c r="I65" s="22" t="s">
        <v>91</v>
      </c>
      <c r="J65" s="19"/>
      <c r="K65" s="19"/>
      <c r="L65" s="21" t="s">
        <v>12</v>
      </c>
      <c r="M65" s="21" t="s">
        <v>231</v>
      </c>
      <c r="N65" s="22" t="s">
        <v>34</v>
      </c>
      <c r="O65" s="19"/>
      <c r="P65" s="21" t="s">
        <v>64</v>
      </c>
      <c r="Q65" s="21" t="s">
        <v>65</v>
      </c>
      <c r="R65" s="19"/>
      <c r="S65" s="19"/>
      <c r="T65" s="19" t="str">
        <f>"515,0"</f>
        <v>515,0</v>
      </c>
      <c r="U65" s="19" t="str">
        <f>"376,3105"</f>
        <v>376,3105</v>
      </c>
      <c r="V65" s="20" t="s">
        <v>319</v>
      </c>
    </row>
    <row r="66" spans="1:22" ht="12.75">
      <c r="A66" s="19" t="s">
        <v>224</v>
      </c>
      <c r="B66" s="19" t="s">
        <v>320</v>
      </c>
      <c r="C66" s="20" t="s">
        <v>1239</v>
      </c>
      <c r="D66" s="20" t="s">
        <v>321</v>
      </c>
      <c r="E66" s="20" t="str">
        <f>"0,7186"</f>
        <v>0,7186</v>
      </c>
      <c r="F66" s="20" t="s">
        <v>1522</v>
      </c>
      <c r="G66" s="20" t="s">
        <v>1601</v>
      </c>
      <c r="H66" s="21" t="s">
        <v>64</v>
      </c>
      <c r="I66" s="22" t="s">
        <v>66</v>
      </c>
      <c r="J66" s="22" t="s">
        <v>66</v>
      </c>
      <c r="K66" s="19"/>
      <c r="L66" s="21" t="s">
        <v>12</v>
      </c>
      <c r="M66" s="22" t="s">
        <v>34</v>
      </c>
      <c r="N66" s="22" t="s">
        <v>34</v>
      </c>
      <c r="O66" s="19"/>
      <c r="P66" s="21" t="s">
        <v>18</v>
      </c>
      <c r="Q66" s="21" t="s">
        <v>70</v>
      </c>
      <c r="R66" s="22" t="s">
        <v>64</v>
      </c>
      <c r="S66" s="19"/>
      <c r="T66" s="19" t="str">
        <f>"485,0"</f>
        <v>485,0</v>
      </c>
      <c r="U66" s="19" t="str">
        <f>"348,5210"</f>
        <v>348,5210</v>
      </c>
      <c r="V66" s="20" t="s">
        <v>322</v>
      </c>
    </row>
    <row r="67" spans="1:22" ht="12.75">
      <c r="A67" s="19" t="s">
        <v>219</v>
      </c>
      <c r="B67" s="19" t="s">
        <v>323</v>
      </c>
      <c r="C67" s="20" t="s">
        <v>1240</v>
      </c>
      <c r="D67" s="20" t="s">
        <v>316</v>
      </c>
      <c r="E67" s="20" t="str">
        <f>"0,7179"</f>
        <v>0,7179</v>
      </c>
      <c r="F67" s="20" t="s">
        <v>1556</v>
      </c>
      <c r="G67" s="20" t="s">
        <v>1557</v>
      </c>
      <c r="H67" s="22" t="s">
        <v>65</v>
      </c>
      <c r="I67" s="22" t="s">
        <v>65</v>
      </c>
      <c r="J67" s="22" t="s">
        <v>65</v>
      </c>
      <c r="K67" s="19"/>
      <c r="L67" s="22"/>
      <c r="M67" s="19"/>
      <c r="N67" s="19"/>
      <c r="O67" s="19"/>
      <c r="P67" s="22"/>
      <c r="Q67" s="19"/>
      <c r="R67" s="19"/>
      <c r="S67" s="19"/>
      <c r="T67" s="19" t="str">
        <f>"0,0"</f>
        <v>0,0</v>
      </c>
      <c r="U67" s="19" t="str">
        <f>"0,0000"</f>
        <v>0,0000</v>
      </c>
      <c r="V67" s="20" t="s">
        <v>324</v>
      </c>
    </row>
    <row r="68" spans="1:22" ht="12.75">
      <c r="A68" s="19" t="s">
        <v>219</v>
      </c>
      <c r="B68" s="19" t="s">
        <v>325</v>
      </c>
      <c r="C68" s="20" t="s">
        <v>1406</v>
      </c>
      <c r="D68" s="20" t="s">
        <v>293</v>
      </c>
      <c r="E68" s="20" t="str">
        <f>"0,7307"</f>
        <v>0,7307</v>
      </c>
      <c r="F68" s="20" t="s">
        <v>1540</v>
      </c>
      <c r="G68" s="20" t="s">
        <v>1539</v>
      </c>
      <c r="H68" s="22" t="s">
        <v>35</v>
      </c>
      <c r="I68" s="22" t="s">
        <v>35</v>
      </c>
      <c r="J68" s="22" t="s">
        <v>35</v>
      </c>
      <c r="K68" s="19"/>
      <c r="L68" s="22"/>
      <c r="M68" s="19"/>
      <c r="N68" s="19"/>
      <c r="O68" s="19"/>
      <c r="P68" s="22"/>
      <c r="Q68" s="19"/>
      <c r="R68" s="19"/>
      <c r="S68" s="19"/>
      <c r="T68" s="19" t="str">
        <f>"0,0"</f>
        <v>0,0</v>
      </c>
      <c r="U68" s="19" t="str">
        <f>"0,0000"</f>
        <v>0,0000</v>
      </c>
      <c r="V68" s="20" t="s">
        <v>326</v>
      </c>
    </row>
    <row r="69" spans="1:22" ht="12.75">
      <c r="A69" s="19" t="s">
        <v>217</v>
      </c>
      <c r="B69" s="19" t="s">
        <v>327</v>
      </c>
      <c r="C69" s="20" t="s">
        <v>1407</v>
      </c>
      <c r="D69" s="20" t="s">
        <v>316</v>
      </c>
      <c r="E69" s="20" t="str">
        <f>"0,7179"</f>
        <v>0,7179</v>
      </c>
      <c r="F69" s="20" t="s">
        <v>1522</v>
      </c>
      <c r="G69" s="20" t="s">
        <v>1615</v>
      </c>
      <c r="H69" s="21" t="s">
        <v>18</v>
      </c>
      <c r="I69" s="22" t="s">
        <v>76</v>
      </c>
      <c r="J69" s="21" t="s">
        <v>76</v>
      </c>
      <c r="K69" s="19"/>
      <c r="L69" s="21" t="s">
        <v>231</v>
      </c>
      <c r="M69" s="21" t="s">
        <v>34</v>
      </c>
      <c r="N69" s="21" t="s">
        <v>44</v>
      </c>
      <c r="O69" s="19"/>
      <c r="P69" s="21" t="s">
        <v>65</v>
      </c>
      <c r="Q69" s="21" t="s">
        <v>84</v>
      </c>
      <c r="R69" s="22" t="s">
        <v>63</v>
      </c>
      <c r="S69" s="19"/>
      <c r="T69" s="19" t="str">
        <f>"520,0"</f>
        <v>520,0</v>
      </c>
      <c r="U69" s="19" t="str">
        <f>"436,0237"</f>
        <v>436,0237</v>
      </c>
      <c r="V69" s="20" t="s">
        <v>41</v>
      </c>
    </row>
    <row r="70" spans="1:22" ht="12.75">
      <c r="A70" s="17" t="s">
        <v>217</v>
      </c>
      <c r="B70" s="17" t="s">
        <v>328</v>
      </c>
      <c r="C70" s="18" t="s">
        <v>1408</v>
      </c>
      <c r="D70" s="18" t="s">
        <v>60</v>
      </c>
      <c r="E70" s="18" t="str">
        <f>"0,7221"</f>
        <v>0,7221</v>
      </c>
      <c r="F70" s="18" t="s">
        <v>1522</v>
      </c>
      <c r="G70" s="18" t="s">
        <v>1616</v>
      </c>
      <c r="H70" s="23" t="s">
        <v>28</v>
      </c>
      <c r="I70" s="23" t="s">
        <v>35</v>
      </c>
      <c r="J70" s="23" t="s">
        <v>30</v>
      </c>
      <c r="K70" s="17"/>
      <c r="L70" s="23" t="s">
        <v>4</v>
      </c>
      <c r="M70" s="23" t="s">
        <v>7</v>
      </c>
      <c r="N70" s="23" t="s">
        <v>8</v>
      </c>
      <c r="O70" s="17"/>
      <c r="P70" s="23" t="s">
        <v>76</v>
      </c>
      <c r="Q70" s="23" t="s">
        <v>65</v>
      </c>
      <c r="R70" s="23" t="s">
        <v>66</v>
      </c>
      <c r="S70" s="17"/>
      <c r="T70" s="17" t="str">
        <f>"450,0"</f>
        <v>450,0</v>
      </c>
      <c r="U70" s="17" t="str">
        <f>"508,5389"</f>
        <v>508,5389</v>
      </c>
      <c r="V70" s="18" t="s">
        <v>41</v>
      </c>
    </row>
    <row r="71" ht="12.75">
      <c r="B71" s="7" t="s">
        <v>218</v>
      </c>
    </row>
    <row r="72" spans="1:21" ht="15">
      <c r="A72" s="124" t="s">
        <v>1154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</row>
    <row r="73" spans="1:22" ht="12.75">
      <c r="A73" s="13" t="s">
        <v>217</v>
      </c>
      <c r="B73" s="13" t="s">
        <v>329</v>
      </c>
      <c r="C73" s="14" t="s">
        <v>1464</v>
      </c>
      <c r="D73" s="14" t="s">
        <v>330</v>
      </c>
      <c r="E73" s="14" t="str">
        <f>"0,6927"</f>
        <v>0,6927</v>
      </c>
      <c r="F73" s="14" t="s">
        <v>1522</v>
      </c>
      <c r="G73" s="14" t="s">
        <v>1617</v>
      </c>
      <c r="H73" s="16" t="s">
        <v>12</v>
      </c>
      <c r="I73" s="16" t="s">
        <v>34</v>
      </c>
      <c r="J73" s="16" t="s">
        <v>113</v>
      </c>
      <c r="K73" s="13"/>
      <c r="L73" s="16" t="s">
        <v>54</v>
      </c>
      <c r="M73" s="16" t="s">
        <v>58</v>
      </c>
      <c r="N73" s="13"/>
      <c r="O73" s="13"/>
      <c r="P73" s="16" t="s">
        <v>12</v>
      </c>
      <c r="Q73" s="16" t="s">
        <v>34</v>
      </c>
      <c r="R73" s="16" t="s">
        <v>28</v>
      </c>
      <c r="S73" s="13"/>
      <c r="T73" s="13" t="str">
        <f>"337,5"</f>
        <v>337,5</v>
      </c>
      <c r="U73" s="13" t="str">
        <f>"233,7863"</f>
        <v>233,7863</v>
      </c>
      <c r="V73" s="14" t="s">
        <v>331</v>
      </c>
    </row>
    <row r="74" spans="1:22" ht="12.75">
      <c r="A74" s="19" t="s">
        <v>217</v>
      </c>
      <c r="B74" s="19" t="s">
        <v>332</v>
      </c>
      <c r="C74" s="20" t="s">
        <v>1465</v>
      </c>
      <c r="D74" s="20" t="s">
        <v>127</v>
      </c>
      <c r="E74" s="20" t="str">
        <f>"0,6699"</f>
        <v>0,6699</v>
      </c>
      <c r="F74" s="20" t="s">
        <v>1694</v>
      </c>
      <c r="G74" s="20" t="s">
        <v>1695</v>
      </c>
      <c r="H74" s="21" t="s">
        <v>30</v>
      </c>
      <c r="I74" s="22" t="s">
        <v>18</v>
      </c>
      <c r="J74" s="21" t="s">
        <v>18</v>
      </c>
      <c r="K74" s="19"/>
      <c r="L74" s="22" t="s">
        <v>28</v>
      </c>
      <c r="M74" s="21" t="s">
        <v>28</v>
      </c>
      <c r="N74" s="21" t="s">
        <v>35</v>
      </c>
      <c r="O74" s="19"/>
      <c r="P74" s="21" t="s">
        <v>23</v>
      </c>
      <c r="Q74" s="21" t="s">
        <v>76</v>
      </c>
      <c r="R74" s="21" t="s">
        <v>190</v>
      </c>
      <c r="S74" s="19"/>
      <c r="T74" s="19" t="str">
        <f>"505,0"</f>
        <v>505,0</v>
      </c>
      <c r="U74" s="19" t="str">
        <f>"338,2995"</f>
        <v>338,2995</v>
      </c>
      <c r="V74" s="20" t="s">
        <v>41</v>
      </c>
    </row>
    <row r="75" spans="1:22" ht="12.75">
      <c r="A75" s="19" t="s">
        <v>217</v>
      </c>
      <c r="B75" s="19" t="s">
        <v>333</v>
      </c>
      <c r="C75" s="20" t="s">
        <v>1492</v>
      </c>
      <c r="D75" s="20" t="s">
        <v>134</v>
      </c>
      <c r="E75" s="20" t="str">
        <f>"0,6754"</f>
        <v>0,6754</v>
      </c>
      <c r="F75" s="20" t="s">
        <v>1556</v>
      </c>
      <c r="G75" s="20" t="s">
        <v>1557</v>
      </c>
      <c r="H75" s="21" t="s">
        <v>91</v>
      </c>
      <c r="I75" s="22" t="s">
        <v>84</v>
      </c>
      <c r="J75" s="22" t="s">
        <v>84</v>
      </c>
      <c r="K75" s="19"/>
      <c r="L75" s="21" t="s">
        <v>40</v>
      </c>
      <c r="M75" s="21" t="s">
        <v>12</v>
      </c>
      <c r="N75" s="22" t="s">
        <v>231</v>
      </c>
      <c r="O75" s="19"/>
      <c r="P75" s="21" t="s">
        <v>91</v>
      </c>
      <c r="Q75" s="21" t="s">
        <v>66</v>
      </c>
      <c r="R75" s="21" t="s">
        <v>95</v>
      </c>
      <c r="S75" s="19"/>
      <c r="T75" s="19" t="str">
        <f>"540,0"</f>
        <v>540,0</v>
      </c>
      <c r="U75" s="19" t="str">
        <f>"364,7160"</f>
        <v>364,7160</v>
      </c>
      <c r="V75" s="20" t="s">
        <v>324</v>
      </c>
    </row>
    <row r="76" spans="1:22" ht="12.75">
      <c r="A76" s="19" t="s">
        <v>220</v>
      </c>
      <c r="B76" s="19" t="s">
        <v>334</v>
      </c>
      <c r="C76" s="20" t="s">
        <v>1493</v>
      </c>
      <c r="D76" s="20" t="s">
        <v>330</v>
      </c>
      <c r="E76" s="20" t="str">
        <f>"0,6927"</f>
        <v>0,6927</v>
      </c>
      <c r="F76" s="20" t="s">
        <v>1556</v>
      </c>
      <c r="G76" s="20" t="s">
        <v>1557</v>
      </c>
      <c r="H76" s="21" t="s">
        <v>64</v>
      </c>
      <c r="I76" s="21" t="s">
        <v>190</v>
      </c>
      <c r="J76" s="21" t="s">
        <v>65</v>
      </c>
      <c r="K76" s="19"/>
      <c r="L76" s="21" t="s">
        <v>231</v>
      </c>
      <c r="M76" s="21" t="s">
        <v>280</v>
      </c>
      <c r="N76" s="22" t="s">
        <v>28</v>
      </c>
      <c r="O76" s="19"/>
      <c r="P76" s="21" t="s">
        <v>76</v>
      </c>
      <c r="Q76" s="22" t="s">
        <v>64</v>
      </c>
      <c r="R76" s="22" t="s">
        <v>64</v>
      </c>
      <c r="S76" s="19"/>
      <c r="T76" s="19" t="str">
        <f>"502,5"</f>
        <v>502,5</v>
      </c>
      <c r="U76" s="19" t="str">
        <f>"348,0818"</f>
        <v>348,0818</v>
      </c>
      <c r="V76" s="20" t="s">
        <v>324</v>
      </c>
    </row>
    <row r="77" spans="1:22" ht="12.75">
      <c r="A77" s="19" t="s">
        <v>221</v>
      </c>
      <c r="B77" s="19" t="s">
        <v>335</v>
      </c>
      <c r="C77" s="20" t="s">
        <v>1494</v>
      </c>
      <c r="D77" s="20" t="s">
        <v>336</v>
      </c>
      <c r="E77" s="20" t="str">
        <f>"0,6957"</f>
        <v>0,6957</v>
      </c>
      <c r="F77" s="20" t="s">
        <v>1522</v>
      </c>
      <c r="G77" s="20" t="s">
        <v>1618</v>
      </c>
      <c r="H77" s="22" t="s">
        <v>55</v>
      </c>
      <c r="I77" s="21" t="s">
        <v>55</v>
      </c>
      <c r="J77" s="21" t="s">
        <v>76</v>
      </c>
      <c r="K77" s="19"/>
      <c r="L77" s="22" t="s">
        <v>39</v>
      </c>
      <c r="M77" s="21" t="s">
        <v>12</v>
      </c>
      <c r="N77" s="22" t="s">
        <v>249</v>
      </c>
      <c r="O77" s="19"/>
      <c r="P77" s="21" t="s">
        <v>18</v>
      </c>
      <c r="Q77" s="21" t="s">
        <v>337</v>
      </c>
      <c r="R77" s="21" t="s">
        <v>64</v>
      </c>
      <c r="S77" s="19"/>
      <c r="T77" s="19" t="str">
        <f>"480,0"</f>
        <v>480,0</v>
      </c>
      <c r="U77" s="19" t="str">
        <f>"333,9360"</f>
        <v>333,9360</v>
      </c>
      <c r="V77" s="20" t="s">
        <v>41</v>
      </c>
    </row>
    <row r="78" spans="1:22" ht="12.75">
      <c r="A78" s="19" t="s">
        <v>217</v>
      </c>
      <c r="B78" s="19" t="s">
        <v>338</v>
      </c>
      <c r="C78" s="20" t="s">
        <v>1241</v>
      </c>
      <c r="D78" s="20" t="s">
        <v>339</v>
      </c>
      <c r="E78" s="20" t="str">
        <f>"0,6724"</f>
        <v>0,6724</v>
      </c>
      <c r="F78" s="20" t="s">
        <v>1522</v>
      </c>
      <c r="G78" s="20" t="s">
        <v>1528</v>
      </c>
      <c r="H78" s="21" t="s">
        <v>124</v>
      </c>
      <c r="I78" s="21" t="s">
        <v>105</v>
      </c>
      <c r="J78" s="22" t="s">
        <v>106</v>
      </c>
      <c r="K78" s="19"/>
      <c r="L78" s="21" t="s">
        <v>30</v>
      </c>
      <c r="M78" s="21" t="s">
        <v>103</v>
      </c>
      <c r="N78" s="21" t="s">
        <v>49</v>
      </c>
      <c r="O78" s="19"/>
      <c r="P78" s="21" t="s">
        <v>124</v>
      </c>
      <c r="Q78" s="21" t="s">
        <v>105</v>
      </c>
      <c r="R78" s="21" t="s">
        <v>139</v>
      </c>
      <c r="S78" s="19"/>
      <c r="T78" s="19" t="str">
        <f>"690,0"</f>
        <v>690,0</v>
      </c>
      <c r="U78" s="19" t="str">
        <f>"463,9560"</f>
        <v>463,9560</v>
      </c>
      <c r="V78" s="20" t="s">
        <v>41</v>
      </c>
    </row>
    <row r="79" spans="1:22" ht="12.75">
      <c r="A79" s="19" t="s">
        <v>220</v>
      </c>
      <c r="B79" s="19" t="s">
        <v>340</v>
      </c>
      <c r="C79" s="20" t="s">
        <v>1242</v>
      </c>
      <c r="D79" s="20" t="s">
        <v>341</v>
      </c>
      <c r="E79" s="20" t="str">
        <f>"0,6806"</f>
        <v>0,6806</v>
      </c>
      <c r="F79" s="20" t="s">
        <v>1522</v>
      </c>
      <c r="G79" s="20" t="s">
        <v>1526</v>
      </c>
      <c r="H79" s="21" t="s">
        <v>190</v>
      </c>
      <c r="I79" s="21" t="s">
        <v>66</v>
      </c>
      <c r="J79" s="22" t="s">
        <v>84</v>
      </c>
      <c r="K79" s="19"/>
      <c r="L79" s="21" t="s">
        <v>35</v>
      </c>
      <c r="M79" s="21" t="s">
        <v>29</v>
      </c>
      <c r="N79" s="22" t="s">
        <v>30</v>
      </c>
      <c r="O79" s="19"/>
      <c r="P79" s="21" t="s">
        <v>84</v>
      </c>
      <c r="Q79" s="21" t="s">
        <v>95</v>
      </c>
      <c r="R79" s="22" t="s">
        <v>342</v>
      </c>
      <c r="S79" s="19"/>
      <c r="T79" s="19" t="str">
        <f>"580,0"</f>
        <v>580,0</v>
      </c>
      <c r="U79" s="19" t="str">
        <f>"394,7480"</f>
        <v>394,7480</v>
      </c>
      <c r="V79" s="20" t="s">
        <v>41</v>
      </c>
    </row>
    <row r="80" spans="1:22" ht="12.75">
      <c r="A80" s="19" t="s">
        <v>221</v>
      </c>
      <c r="B80" s="19" t="s">
        <v>343</v>
      </c>
      <c r="C80" s="20" t="s">
        <v>1243</v>
      </c>
      <c r="D80" s="20" t="s">
        <v>344</v>
      </c>
      <c r="E80" s="20" t="str">
        <f>"0,6764"</f>
        <v>0,6764</v>
      </c>
      <c r="F80" s="20" t="s">
        <v>1522</v>
      </c>
      <c r="G80" s="20" t="s">
        <v>1619</v>
      </c>
      <c r="H80" s="21" t="s">
        <v>63</v>
      </c>
      <c r="I80" s="22" t="s">
        <v>95</v>
      </c>
      <c r="J80" s="22" t="s">
        <v>345</v>
      </c>
      <c r="K80" s="19"/>
      <c r="L80" s="21" t="s">
        <v>34</v>
      </c>
      <c r="M80" s="21" t="s">
        <v>44</v>
      </c>
      <c r="N80" s="22" t="s">
        <v>285</v>
      </c>
      <c r="O80" s="19"/>
      <c r="P80" s="22" t="s">
        <v>63</v>
      </c>
      <c r="Q80" s="21" t="s">
        <v>63</v>
      </c>
      <c r="R80" s="21" t="s">
        <v>96</v>
      </c>
      <c r="S80" s="19"/>
      <c r="T80" s="19" t="str">
        <f>"580,0"</f>
        <v>580,0</v>
      </c>
      <c r="U80" s="19" t="str">
        <f>"392,3120"</f>
        <v>392,3120</v>
      </c>
      <c r="V80" s="20" t="s">
        <v>41</v>
      </c>
    </row>
    <row r="81" spans="1:22" ht="12.75">
      <c r="A81" s="19" t="s">
        <v>219</v>
      </c>
      <c r="B81" s="19" t="s">
        <v>346</v>
      </c>
      <c r="C81" s="20" t="s">
        <v>1244</v>
      </c>
      <c r="D81" s="20" t="s">
        <v>347</v>
      </c>
      <c r="E81" s="20" t="str">
        <f>"0,6779"</f>
        <v>0,6779</v>
      </c>
      <c r="F81" s="20" t="s">
        <v>1540</v>
      </c>
      <c r="G81" s="20" t="s">
        <v>1684</v>
      </c>
      <c r="H81" s="22" t="s">
        <v>348</v>
      </c>
      <c r="I81" s="22" t="s">
        <v>348</v>
      </c>
      <c r="J81" s="22" t="s">
        <v>348</v>
      </c>
      <c r="K81" s="19"/>
      <c r="L81" s="22"/>
      <c r="M81" s="19"/>
      <c r="N81" s="19"/>
      <c r="O81" s="19"/>
      <c r="P81" s="22"/>
      <c r="Q81" s="19"/>
      <c r="R81" s="19"/>
      <c r="S81" s="19"/>
      <c r="T81" s="19" t="str">
        <f>"0,0"</f>
        <v>0,0</v>
      </c>
      <c r="U81" s="19" t="str">
        <f>"0,0000"</f>
        <v>0,0000</v>
      </c>
      <c r="V81" s="20" t="s">
        <v>879</v>
      </c>
    </row>
    <row r="82" spans="1:22" ht="12.75">
      <c r="A82" s="19" t="s">
        <v>217</v>
      </c>
      <c r="B82" s="19" t="s">
        <v>349</v>
      </c>
      <c r="C82" s="20" t="s">
        <v>1409</v>
      </c>
      <c r="D82" s="20" t="s">
        <v>341</v>
      </c>
      <c r="E82" s="20" t="str">
        <f>"0,6806"</f>
        <v>0,6806</v>
      </c>
      <c r="F82" s="20" t="s">
        <v>1522</v>
      </c>
      <c r="G82" s="20" t="s">
        <v>1530</v>
      </c>
      <c r="H82" s="21" t="s">
        <v>66</v>
      </c>
      <c r="I82" s="22" t="s">
        <v>63</v>
      </c>
      <c r="J82" s="22" t="s">
        <v>63</v>
      </c>
      <c r="K82" s="19"/>
      <c r="L82" s="21" t="s">
        <v>23</v>
      </c>
      <c r="M82" s="22" t="s">
        <v>55</v>
      </c>
      <c r="N82" s="22" t="s">
        <v>55</v>
      </c>
      <c r="O82" s="19"/>
      <c r="P82" s="21" t="s">
        <v>84</v>
      </c>
      <c r="Q82" s="21" t="s">
        <v>95</v>
      </c>
      <c r="R82" s="21" t="s">
        <v>83</v>
      </c>
      <c r="S82" s="19"/>
      <c r="T82" s="19" t="str">
        <f>"605,0"</f>
        <v>605,0</v>
      </c>
      <c r="U82" s="19" t="str">
        <f>"436,4688"</f>
        <v>436,4688</v>
      </c>
      <c r="V82" s="20" t="s">
        <v>41</v>
      </c>
    </row>
    <row r="83" spans="1:22" ht="12.75">
      <c r="A83" s="19" t="s">
        <v>220</v>
      </c>
      <c r="B83" s="19" t="s">
        <v>350</v>
      </c>
      <c r="C83" s="20" t="s">
        <v>1410</v>
      </c>
      <c r="D83" s="20" t="s">
        <v>131</v>
      </c>
      <c r="E83" s="20" t="str">
        <f>"0,6704"</f>
        <v>0,6704</v>
      </c>
      <c r="F83" s="20" t="s">
        <v>1556</v>
      </c>
      <c r="G83" s="20" t="s">
        <v>1557</v>
      </c>
      <c r="H83" s="21" t="s">
        <v>65</v>
      </c>
      <c r="I83" s="21" t="s">
        <v>62</v>
      </c>
      <c r="J83" s="22" t="s">
        <v>95</v>
      </c>
      <c r="K83" s="19"/>
      <c r="L83" s="21" t="s">
        <v>231</v>
      </c>
      <c r="M83" s="21" t="s">
        <v>280</v>
      </c>
      <c r="N83" s="21" t="s">
        <v>285</v>
      </c>
      <c r="O83" s="19"/>
      <c r="P83" s="21" t="s">
        <v>63</v>
      </c>
      <c r="Q83" s="21" t="s">
        <v>345</v>
      </c>
      <c r="R83" s="21" t="s">
        <v>115</v>
      </c>
      <c r="S83" s="19"/>
      <c r="T83" s="19" t="str">
        <f>"582,5"</f>
        <v>582,5</v>
      </c>
      <c r="U83" s="19" t="str">
        <f>"413,9385"</f>
        <v>413,9385</v>
      </c>
      <c r="V83" s="20" t="s">
        <v>390</v>
      </c>
    </row>
    <row r="84" spans="1:22" ht="12.75">
      <c r="A84" s="17" t="s">
        <v>221</v>
      </c>
      <c r="B84" s="17" t="s">
        <v>351</v>
      </c>
      <c r="C84" s="18" t="s">
        <v>1411</v>
      </c>
      <c r="D84" s="18" t="s">
        <v>352</v>
      </c>
      <c r="E84" s="18" t="str">
        <f>"0,6774"</f>
        <v>0,6774</v>
      </c>
      <c r="F84" s="18" t="s">
        <v>1522</v>
      </c>
      <c r="G84" s="18" t="s">
        <v>1620</v>
      </c>
      <c r="H84" s="23" t="s">
        <v>66</v>
      </c>
      <c r="I84" s="24" t="s">
        <v>63</v>
      </c>
      <c r="J84" s="24" t="s">
        <v>63</v>
      </c>
      <c r="K84" s="17"/>
      <c r="L84" s="23" t="s">
        <v>35</v>
      </c>
      <c r="M84" s="24" t="s">
        <v>29</v>
      </c>
      <c r="N84" s="24" t="s">
        <v>29</v>
      </c>
      <c r="O84" s="17"/>
      <c r="P84" s="23" t="s">
        <v>63</v>
      </c>
      <c r="Q84" s="23" t="s">
        <v>95</v>
      </c>
      <c r="R84" s="23" t="s">
        <v>83</v>
      </c>
      <c r="S84" s="17"/>
      <c r="T84" s="17" t="str">
        <f>"580,0"</f>
        <v>580,0</v>
      </c>
      <c r="U84" s="17" t="str">
        <f>"410,1792"</f>
        <v>410,1792</v>
      </c>
      <c r="V84" s="18" t="s">
        <v>41</v>
      </c>
    </row>
    <row r="85" ht="12.75">
      <c r="B85" s="7" t="s">
        <v>218</v>
      </c>
    </row>
    <row r="86" spans="1:21" ht="15">
      <c r="A86" s="124" t="s">
        <v>1156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</row>
    <row r="87" spans="1:22" ht="12.75">
      <c r="A87" s="103" t="s">
        <v>217</v>
      </c>
      <c r="B87" s="103" t="s">
        <v>1122</v>
      </c>
      <c r="C87" s="14" t="s">
        <v>1495</v>
      </c>
      <c r="D87" s="106" t="s">
        <v>585</v>
      </c>
      <c r="E87" s="44" t="s">
        <v>1123</v>
      </c>
      <c r="F87" s="14" t="s">
        <v>1522</v>
      </c>
      <c r="G87" s="106" t="s">
        <v>1567</v>
      </c>
      <c r="H87" s="55" t="s">
        <v>63</v>
      </c>
      <c r="I87" s="16" t="s">
        <v>348</v>
      </c>
      <c r="J87" s="57" t="s">
        <v>104</v>
      </c>
      <c r="K87" s="103"/>
      <c r="L87" s="16" t="s">
        <v>29</v>
      </c>
      <c r="M87" s="56" t="s">
        <v>30</v>
      </c>
      <c r="N87" s="56" t="s">
        <v>22</v>
      </c>
      <c r="O87" s="103"/>
      <c r="P87" s="16" t="s">
        <v>65</v>
      </c>
      <c r="Q87" s="56" t="s">
        <v>63</v>
      </c>
      <c r="R87" s="55" t="s">
        <v>96</v>
      </c>
      <c r="S87" s="103"/>
      <c r="T87" s="13" t="s">
        <v>1124</v>
      </c>
      <c r="U87" s="109" t="s">
        <v>1125</v>
      </c>
      <c r="V87" s="14" t="s">
        <v>41</v>
      </c>
    </row>
    <row r="88" spans="1:22" ht="12.75">
      <c r="A88" s="104" t="s">
        <v>217</v>
      </c>
      <c r="B88" s="104" t="s">
        <v>353</v>
      </c>
      <c r="C88" s="20" t="s">
        <v>1245</v>
      </c>
      <c r="D88" s="6" t="s">
        <v>146</v>
      </c>
      <c r="E88" s="45" t="str">
        <f>"0,6428"</f>
        <v>0,6428</v>
      </c>
      <c r="F88" s="20" t="s">
        <v>1556</v>
      </c>
      <c r="G88" s="6" t="s">
        <v>1557</v>
      </c>
      <c r="H88" s="59" t="s">
        <v>106</v>
      </c>
      <c r="I88" s="21" t="s">
        <v>170</v>
      </c>
      <c r="J88" s="54" t="s">
        <v>164</v>
      </c>
      <c r="K88" s="104"/>
      <c r="L88" s="21" t="s">
        <v>49</v>
      </c>
      <c r="M88" s="53" t="s">
        <v>18</v>
      </c>
      <c r="N88" s="104"/>
      <c r="O88" s="104"/>
      <c r="P88" s="21" t="s">
        <v>97</v>
      </c>
      <c r="Q88" s="53" t="s">
        <v>354</v>
      </c>
      <c r="R88" s="59" t="s">
        <v>106</v>
      </c>
      <c r="S88" s="104"/>
      <c r="T88" s="19" t="str">
        <f>"730,0"</f>
        <v>730,0</v>
      </c>
      <c r="U88" s="7" t="str">
        <f>"469,2440"</f>
        <v>469,2440</v>
      </c>
      <c r="V88" s="20" t="s">
        <v>41</v>
      </c>
    </row>
    <row r="89" spans="1:22" ht="12.75">
      <c r="A89" s="104" t="s">
        <v>220</v>
      </c>
      <c r="B89" s="104" t="s">
        <v>868</v>
      </c>
      <c r="C89" s="20" t="s">
        <v>1246</v>
      </c>
      <c r="D89" s="6" t="s">
        <v>172</v>
      </c>
      <c r="E89" s="45" t="str">
        <f>"0,6475"</f>
        <v>0,6475</v>
      </c>
      <c r="F89" s="20" t="s">
        <v>1556</v>
      </c>
      <c r="G89" s="6" t="s">
        <v>1557</v>
      </c>
      <c r="H89" s="59" t="s">
        <v>76</v>
      </c>
      <c r="I89" s="21" t="s">
        <v>65</v>
      </c>
      <c r="J89" s="53" t="s">
        <v>307</v>
      </c>
      <c r="K89" s="104"/>
      <c r="L89" s="21" t="s">
        <v>30</v>
      </c>
      <c r="M89" s="53" t="s">
        <v>17</v>
      </c>
      <c r="N89" s="59" t="s">
        <v>132</v>
      </c>
      <c r="O89" s="104"/>
      <c r="P89" s="21" t="s">
        <v>76</v>
      </c>
      <c r="Q89" s="53" t="s">
        <v>65</v>
      </c>
      <c r="R89" s="59" t="s">
        <v>307</v>
      </c>
      <c r="S89" s="104"/>
      <c r="T89" s="19" t="str">
        <f>"582,5"</f>
        <v>582,5</v>
      </c>
      <c r="U89" s="7" t="str">
        <f>"377,1687"</f>
        <v>377,1687</v>
      </c>
      <c r="V89" s="20" t="s">
        <v>41</v>
      </c>
    </row>
    <row r="90" spans="1:22" ht="12.75">
      <c r="A90" s="104" t="s">
        <v>221</v>
      </c>
      <c r="B90" s="104" t="s">
        <v>355</v>
      </c>
      <c r="C90" s="20" t="s">
        <v>1247</v>
      </c>
      <c r="D90" s="6" t="s">
        <v>356</v>
      </c>
      <c r="E90" s="45" t="str">
        <f>"0,6455"</f>
        <v>0,6455</v>
      </c>
      <c r="F90" s="20" t="s">
        <v>1522</v>
      </c>
      <c r="G90" s="6" t="s">
        <v>1615</v>
      </c>
      <c r="H90" s="59" t="s">
        <v>76</v>
      </c>
      <c r="I90" s="21" t="s">
        <v>190</v>
      </c>
      <c r="J90" s="53" t="s">
        <v>91</v>
      </c>
      <c r="K90" s="104"/>
      <c r="L90" s="21" t="s">
        <v>28</v>
      </c>
      <c r="M90" s="53" t="s">
        <v>114</v>
      </c>
      <c r="N90" s="59" t="s">
        <v>357</v>
      </c>
      <c r="O90" s="104"/>
      <c r="P90" s="21" t="s">
        <v>65</v>
      </c>
      <c r="Q90" s="54" t="s">
        <v>84</v>
      </c>
      <c r="R90" s="59" t="s">
        <v>84</v>
      </c>
      <c r="S90" s="104"/>
      <c r="T90" s="19" t="str">
        <f>"562,5"</f>
        <v>562,5</v>
      </c>
      <c r="U90" s="7" t="str">
        <f>"363,0938"</f>
        <v>363,0938</v>
      </c>
      <c r="V90" s="20" t="s">
        <v>880</v>
      </c>
    </row>
    <row r="91" spans="1:22" ht="12.75">
      <c r="A91" s="104" t="s">
        <v>222</v>
      </c>
      <c r="B91" s="104" t="s">
        <v>358</v>
      </c>
      <c r="C91" s="20" t="s">
        <v>1248</v>
      </c>
      <c r="D91" s="6" t="s">
        <v>359</v>
      </c>
      <c r="E91" s="45" t="str">
        <f>"0,6432"</f>
        <v>0,6432</v>
      </c>
      <c r="F91" s="20" t="s">
        <v>1522</v>
      </c>
      <c r="G91" s="6" t="s">
        <v>1524</v>
      </c>
      <c r="H91" s="59" t="s">
        <v>76</v>
      </c>
      <c r="I91" s="21" t="s">
        <v>190</v>
      </c>
      <c r="J91" s="54" t="s">
        <v>91</v>
      </c>
      <c r="K91" s="104"/>
      <c r="L91" s="21" t="s">
        <v>35</v>
      </c>
      <c r="M91" s="54" t="s">
        <v>48</v>
      </c>
      <c r="N91" s="67" t="s">
        <v>48</v>
      </c>
      <c r="O91" s="104"/>
      <c r="P91" s="22" t="s">
        <v>91</v>
      </c>
      <c r="Q91" s="53" t="s">
        <v>91</v>
      </c>
      <c r="R91" s="59" t="s">
        <v>63</v>
      </c>
      <c r="S91" s="104"/>
      <c r="T91" s="19" t="str">
        <f>"555,0"</f>
        <v>555,0</v>
      </c>
      <c r="U91" s="7" t="str">
        <f>"356,9760"</f>
        <v>356,9760</v>
      </c>
      <c r="V91" s="20" t="s">
        <v>111</v>
      </c>
    </row>
    <row r="92" spans="1:22" ht="12.75">
      <c r="A92" s="104" t="s">
        <v>223</v>
      </c>
      <c r="B92" s="104" t="s">
        <v>360</v>
      </c>
      <c r="C92" s="20" t="s">
        <v>1249</v>
      </c>
      <c r="D92" s="6" t="s">
        <v>361</v>
      </c>
      <c r="E92" s="45" t="str">
        <f>"0,6417"</f>
        <v>0,6417</v>
      </c>
      <c r="F92" s="20" t="s">
        <v>1522</v>
      </c>
      <c r="G92" s="6" t="s">
        <v>1621</v>
      </c>
      <c r="H92" s="59" t="s">
        <v>76</v>
      </c>
      <c r="I92" s="21" t="s">
        <v>65</v>
      </c>
      <c r="J92" s="54" t="s">
        <v>84</v>
      </c>
      <c r="K92" s="104"/>
      <c r="L92" s="21" t="s">
        <v>34</v>
      </c>
      <c r="M92" s="53" t="s">
        <v>44</v>
      </c>
      <c r="N92" s="67" t="s">
        <v>285</v>
      </c>
      <c r="O92" s="104"/>
      <c r="P92" s="21" t="s">
        <v>18</v>
      </c>
      <c r="Q92" s="53" t="s">
        <v>76</v>
      </c>
      <c r="R92" s="67" t="s">
        <v>64</v>
      </c>
      <c r="S92" s="104"/>
      <c r="T92" s="19" t="str">
        <f>"505,0"</f>
        <v>505,0</v>
      </c>
      <c r="U92" s="7" t="str">
        <f>"324,0585"</f>
        <v>324,0585</v>
      </c>
      <c r="V92" s="20" t="s">
        <v>107</v>
      </c>
    </row>
    <row r="93" spans="1:22" ht="12.75">
      <c r="A93" s="104" t="s">
        <v>224</v>
      </c>
      <c r="B93" s="104" t="s">
        <v>362</v>
      </c>
      <c r="C93" s="20" t="s">
        <v>1250</v>
      </c>
      <c r="D93" s="6" t="s">
        <v>363</v>
      </c>
      <c r="E93" s="45" t="str">
        <f>"0,6553"</f>
        <v>0,6553</v>
      </c>
      <c r="F93" s="20" t="s">
        <v>1522</v>
      </c>
      <c r="G93" s="6" t="s">
        <v>1601</v>
      </c>
      <c r="H93" s="59" t="s">
        <v>18</v>
      </c>
      <c r="I93" s="21" t="s">
        <v>76</v>
      </c>
      <c r="J93" s="54" t="s">
        <v>65</v>
      </c>
      <c r="K93" s="104"/>
      <c r="L93" s="22" t="s">
        <v>8</v>
      </c>
      <c r="M93" s="53" t="s">
        <v>8</v>
      </c>
      <c r="N93" s="59" t="s">
        <v>21</v>
      </c>
      <c r="O93" s="104"/>
      <c r="P93" s="21" t="s">
        <v>76</v>
      </c>
      <c r="Q93" s="53" t="s">
        <v>65</v>
      </c>
      <c r="R93" s="59" t="s">
        <v>84</v>
      </c>
      <c r="S93" s="104"/>
      <c r="T93" s="19" t="str">
        <f>"495,0"</f>
        <v>495,0</v>
      </c>
      <c r="U93" s="7" t="str">
        <f>"324,3735"</f>
        <v>324,3735</v>
      </c>
      <c r="V93" s="20" t="s">
        <v>322</v>
      </c>
    </row>
    <row r="94" spans="1:22" ht="12.75">
      <c r="A94" s="104" t="s">
        <v>219</v>
      </c>
      <c r="B94" s="104" t="s">
        <v>364</v>
      </c>
      <c r="C94" s="20" t="s">
        <v>1251</v>
      </c>
      <c r="D94" s="6" t="s">
        <v>187</v>
      </c>
      <c r="E94" s="45" t="str">
        <f>"0,6507"</f>
        <v>0,6507</v>
      </c>
      <c r="F94" s="20" t="s">
        <v>1522</v>
      </c>
      <c r="G94" s="6" t="s">
        <v>1567</v>
      </c>
      <c r="H94" s="67" t="s">
        <v>63</v>
      </c>
      <c r="I94" s="22" t="s">
        <v>95</v>
      </c>
      <c r="J94" s="54" t="s">
        <v>95</v>
      </c>
      <c r="K94" s="104"/>
      <c r="L94" s="22"/>
      <c r="N94" s="104"/>
      <c r="O94" s="104"/>
      <c r="P94" s="22"/>
      <c r="R94" s="104"/>
      <c r="S94" s="104"/>
      <c r="T94" s="19" t="str">
        <f>"0,0"</f>
        <v>0,0</v>
      </c>
      <c r="U94" s="7" t="str">
        <f>"0,0000"</f>
        <v>0,0000</v>
      </c>
      <c r="V94" s="20" t="s">
        <v>41</v>
      </c>
    </row>
    <row r="95" spans="1:22" ht="12.75">
      <c r="A95" s="104" t="s">
        <v>217</v>
      </c>
      <c r="B95" s="104" t="s">
        <v>365</v>
      </c>
      <c r="C95" s="20" t="s">
        <v>1412</v>
      </c>
      <c r="D95" s="6" t="s">
        <v>366</v>
      </c>
      <c r="E95" s="45" t="str">
        <f>"0,6451"</f>
        <v>0,6451</v>
      </c>
      <c r="F95" s="20" t="s">
        <v>1522</v>
      </c>
      <c r="G95" s="6" t="s">
        <v>1527</v>
      </c>
      <c r="H95" s="67" t="s">
        <v>76</v>
      </c>
      <c r="I95" s="21" t="s">
        <v>76</v>
      </c>
      <c r="J95" s="53" t="s">
        <v>66</v>
      </c>
      <c r="K95" s="104"/>
      <c r="L95" s="21" t="s">
        <v>35</v>
      </c>
      <c r="M95" s="54" t="s">
        <v>30</v>
      </c>
      <c r="N95" s="59" t="s">
        <v>30</v>
      </c>
      <c r="O95" s="104"/>
      <c r="P95" s="21" t="s">
        <v>76</v>
      </c>
      <c r="Q95" s="53" t="s">
        <v>367</v>
      </c>
      <c r="R95" s="67" t="s">
        <v>66</v>
      </c>
      <c r="S95" s="104"/>
      <c r="T95" s="19" t="str">
        <f>"562,5"</f>
        <v>562,5</v>
      </c>
      <c r="U95" s="7" t="str">
        <f>"362,8687"</f>
        <v>362,8687</v>
      </c>
      <c r="V95" s="20" t="s">
        <v>881</v>
      </c>
    </row>
    <row r="96" spans="1:22" ht="12.75">
      <c r="A96" s="104" t="s">
        <v>217</v>
      </c>
      <c r="B96" s="104" t="s">
        <v>368</v>
      </c>
      <c r="C96" s="20" t="s">
        <v>1413</v>
      </c>
      <c r="D96" s="6" t="s">
        <v>369</v>
      </c>
      <c r="E96" s="45" t="str">
        <f>"0,6549"</f>
        <v>0,6549</v>
      </c>
      <c r="F96" s="20" t="s">
        <v>1522</v>
      </c>
      <c r="G96" s="6" t="s">
        <v>1525</v>
      </c>
      <c r="H96" s="59" t="s">
        <v>34</v>
      </c>
      <c r="I96" s="21" t="s">
        <v>28</v>
      </c>
      <c r="J96" s="53" t="s">
        <v>35</v>
      </c>
      <c r="K96" s="104"/>
      <c r="L96" s="21" t="s">
        <v>39</v>
      </c>
      <c r="M96" s="54" t="s">
        <v>231</v>
      </c>
      <c r="N96" s="59" t="s">
        <v>231</v>
      </c>
      <c r="O96" s="104"/>
      <c r="P96" s="21" t="s">
        <v>17</v>
      </c>
      <c r="Q96" s="53" t="s">
        <v>18</v>
      </c>
      <c r="R96" s="104"/>
      <c r="S96" s="104"/>
      <c r="T96" s="19" t="str">
        <f>"425,0"</f>
        <v>425,0</v>
      </c>
      <c r="U96" s="7" t="str">
        <f>"367,9556"</f>
        <v>367,9556</v>
      </c>
      <c r="V96" s="20" t="s">
        <v>370</v>
      </c>
    </row>
    <row r="97" spans="1:22" ht="12.75">
      <c r="A97" s="105" t="s">
        <v>219</v>
      </c>
      <c r="B97" s="105" t="s">
        <v>371</v>
      </c>
      <c r="C97" s="18" t="s">
        <v>1414</v>
      </c>
      <c r="D97" s="107" t="s">
        <v>182</v>
      </c>
      <c r="E97" s="46" t="str">
        <f>"0,6421"</f>
        <v>0,6421</v>
      </c>
      <c r="F97" s="18" t="s">
        <v>1522</v>
      </c>
      <c r="G97" s="107" t="s">
        <v>1567</v>
      </c>
      <c r="H97" s="62" t="s">
        <v>76</v>
      </c>
      <c r="I97" s="24" t="s">
        <v>64</v>
      </c>
      <c r="J97" s="64" t="s">
        <v>64</v>
      </c>
      <c r="K97" s="105"/>
      <c r="L97" s="24"/>
      <c r="M97" s="108"/>
      <c r="N97" s="105"/>
      <c r="O97" s="105"/>
      <c r="P97" s="24"/>
      <c r="Q97" s="108"/>
      <c r="R97" s="105"/>
      <c r="S97" s="105"/>
      <c r="T97" s="17" t="str">
        <f>"0,0"</f>
        <v>0,0</v>
      </c>
      <c r="U97" s="108" t="str">
        <f>"0,0000"</f>
        <v>0,0000</v>
      </c>
      <c r="V97" s="18" t="s">
        <v>41</v>
      </c>
    </row>
    <row r="98" ht="12.75">
      <c r="B98" s="7" t="s">
        <v>218</v>
      </c>
    </row>
    <row r="99" spans="1:21" ht="15">
      <c r="A99" s="124" t="s">
        <v>1157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</row>
    <row r="100" spans="1:22" ht="12.75">
      <c r="A100" s="13" t="s">
        <v>217</v>
      </c>
      <c r="B100" s="13" t="s">
        <v>372</v>
      </c>
      <c r="C100" s="14" t="s">
        <v>1466</v>
      </c>
      <c r="D100" s="14" t="s">
        <v>373</v>
      </c>
      <c r="E100" s="14" t="str">
        <f>"0,6101"</f>
        <v>0,6101</v>
      </c>
      <c r="F100" s="14" t="s">
        <v>1522</v>
      </c>
      <c r="G100" s="14" t="s">
        <v>1622</v>
      </c>
      <c r="H100" s="16" t="s">
        <v>84</v>
      </c>
      <c r="I100" s="15" t="s">
        <v>95</v>
      </c>
      <c r="J100" s="16" t="s">
        <v>83</v>
      </c>
      <c r="K100" s="13"/>
      <c r="L100" s="16" t="s">
        <v>35</v>
      </c>
      <c r="M100" s="15" t="s">
        <v>48</v>
      </c>
      <c r="N100" s="15" t="s">
        <v>48</v>
      </c>
      <c r="O100" s="13"/>
      <c r="P100" s="16" t="s">
        <v>158</v>
      </c>
      <c r="Q100" s="16" t="s">
        <v>83</v>
      </c>
      <c r="R100" s="16" t="s">
        <v>104</v>
      </c>
      <c r="S100" s="13"/>
      <c r="T100" s="13" t="str">
        <f>"610,0"</f>
        <v>610,0</v>
      </c>
      <c r="U100" s="13" t="str">
        <f>"372,1610"</f>
        <v>372,1610</v>
      </c>
      <c r="V100" s="14" t="s">
        <v>882</v>
      </c>
    </row>
    <row r="101" spans="1:22" ht="12.75">
      <c r="A101" s="19" t="s">
        <v>217</v>
      </c>
      <c r="B101" s="19" t="s">
        <v>374</v>
      </c>
      <c r="C101" s="20" t="s">
        <v>1496</v>
      </c>
      <c r="D101" s="20" t="s">
        <v>375</v>
      </c>
      <c r="E101" s="20" t="str">
        <f>"0,6308"</f>
        <v>0,6308</v>
      </c>
      <c r="F101" s="20" t="s">
        <v>1522</v>
      </c>
      <c r="G101" s="20" t="s">
        <v>1614</v>
      </c>
      <c r="H101" s="21" t="s">
        <v>64</v>
      </c>
      <c r="I101" s="22" t="s">
        <v>91</v>
      </c>
      <c r="J101" s="21" t="s">
        <v>91</v>
      </c>
      <c r="K101" s="19"/>
      <c r="L101" s="21" t="s">
        <v>34</v>
      </c>
      <c r="M101" s="21" t="s">
        <v>285</v>
      </c>
      <c r="N101" s="22" t="s">
        <v>113</v>
      </c>
      <c r="O101" s="19"/>
      <c r="P101" s="22" t="s">
        <v>64</v>
      </c>
      <c r="Q101" s="21" t="s">
        <v>190</v>
      </c>
      <c r="R101" s="22" t="s">
        <v>91</v>
      </c>
      <c r="S101" s="19"/>
      <c r="T101" s="19" t="str">
        <f>"527,5"</f>
        <v>527,5</v>
      </c>
      <c r="U101" s="19" t="str">
        <f>"332,7470"</f>
        <v>332,7470</v>
      </c>
      <c r="V101" s="20" t="s">
        <v>883</v>
      </c>
    </row>
    <row r="102" spans="1:22" ht="12.75">
      <c r="A102" s="19" t="s">
        <v>217</v>
      </c>
      <c r="B102" s="19" t="s">
        <v>376</v>
      </c>
      <c r="C102" s="20" t="s">
        <v>1252</v>
      </c>
      <c r="D102" s="20" t="s">
        <v>188</v>
      </c>
      <c r="E102" s="20" t="str">
        <f>"0,6152"</f>
        <v>0,6152</v>
      </c>
      <c r="F102" s="20" t="s">
        <v>1556</v>
      </c>
      <c r="G102" s="20" t="s">
        <v>1557</v>
      </c>
      <c r="H102" s="22" t="s">
        <v>170</v>
      </c>
      <c r="I102" s="21" t="s">
        <v>164</v>
      </c>
      <c r="J102" s="22" t="s">
        <v>157</v>
      </c>
      <c r="K102" s="19"/>
      <c r="L102" s="21" t="s">
        <v>64</v>
      </c>
      <c r="M102" s="22" t="s">
        <v>65</v>
      </c>
      <c r="N102" s="22" t="s">
        <v>65</v>
      </c>
      <c r="O102" s="19"/>
      <c r="P102" s="21" t="s">
        <v>124</v>
      </c>
      <c r="Q102" s="21" t="s">
        <v>125</v>
      </c>
      <c r="R102" s="21" t="s">
        <v>135</v>
      </c>
      <c r="S102" s="19"/>
      <c r="T102" s="19" t="str">
        <f>"765,0"</f>
        <v>765,0</v>
      </c>
      <c r="U102" s="19" t="str">
        <f>"470,6280"</f>
        <v>470,6280</v>
      </c>
      <c r="V102" s="20" t="s">
        <v>324</v>
      </c>
    </row>
    <row r="103" spans="1:22" ht="12.75">
      <c r="A103" s="19" t="s">
        <v>220</v>
      </c>
      <c r="B103" s="19" t="s">
        <v>377</v>
      </c>
      <c r="C103" s="20" t="s">
        <v>1253</v>
      </c>
      <c r="D103" s="20" t="s">
        <v>378</v>
      </c>
      <c r="E103" s="20" t="str">
        <f>"0,6144"</f>
        <v>0,6144</v>
      </c>
      <c r="F103" s="20" t="s">
        <v>1522</v>
      </c>
      <c r="G103" s="20" t="s">
        <v>1529</v>
      </c>
      <c r="H103" s="22" t="s">
        <v>106</v>
      </c>
      <c r="I103" s="22" t="s">
        <v>106</v>
      </c>
      <c r="J103" s="21" t="s">
        <v>106</v>
      </c>
      <c r="K103" s="19"/>
      <c r="L103" s="21" t="s">
        <v>17</v>
      </c>
      <c r="M103" s="22" t="s">
        <v>18</v>
      </c>
      <c r="N103" s="22" t="s">
        <v>18</v>
      </c>
      <c r="O103" s="19"/>
      <c r="P103" s="22" t="s">
        <v>124</v>
      </c>
      <c r="Q103" s="21" t="s">
        <v>105</v>
      </c>
      <c r="R103" s="22" t="s">
        <v>106</v>
      </c>
      <c r="S103" s="19"/>
      <c r="T103" s="19" t="str">
        <f>"690,0"</f>
        <v>690,0</v>
      </c>
      <c r="U103" s="19" t="str">
        <f>"423,9360"</f>
        <v>423,9360</v>
      </c>
      <c r="V103" s="20" t="s">
        <v>884</v>
      </c>
    </row>
    <row r="104" spans="1:22" ht="12.75">
      <c r="A104" s="19" t="s">
        <v>221</v>
      </c>
      <c r="B104" s="19" t="s">
        <v>869</v>
      </c>
      <c r="C104" s="20" t="s">
        <v>1254</v>
      </c>
      <c r="D104" s="20" t="s">
        <v>379</v>
      </c>
      <c r="E104" s="20" t="str">
        <f>"0,6214"</f>
        <v>0,6214</v>
      </c>
      <c r="F104" s="20" t="s">
        <v>1556</v>
      </c>
      <c r="G104" s="20" t="s">
        <v>1557</v>
      </c>
      <c r="H104" s="22" t="s">
        <v>124</v>
      </c>
      <c r="I104" s="22" t="s">
        <v>124</v>
      </c>
      <c r="J104" s="21" t="s">
        <v>105</v>
      </c>
      <c r="K104" s="19"/>
      <c r="L104" s="21" t="s">
        <v>30</v>
      </c>
      <c r="M104" s="21" t="s">
        <v>23</v>
      </c>
      <c r="N104" s="21" t="s">
        <v>24</v>
      </c>
      <c r="O104" s="19"/>
      <c r="P104" s="21" t="s">
        <v>104</v>
      </c>
      <c r="Q104" s="21" t="s">
        <v>124</v>
      </c>
      <c r="R104" s="22" t="s">
        <v>105</v>
      </c>
      <c r="S104" s="19"/>
      <c r="T104" s="19" t="str">
        <f>"682,5"</f>
        <v>682,5</v>
      </c>
      <c r="U104" s="19" t="str">
        <f>"424,1055"</f>
        <v>424,1055</v>
      </c>
      <c r="V104" s="20" t="s">
        <v>41</v>
      </c>
    </row>
    <row r="105" spans="1:22" ht="12.75">
      <c r="A105" s="19" t="s">
        <v>222</v>
      </c>
      <c r="B105" s="19" t="s">
        <v>380</v>
      </c>
      <c r="C105" s="20" t="s">
        <v>1255</v>
      </c>
      <c r="D105" s="20" t="s">
        <v>381</v>
      </c>
      <c r="E105" s="20" t="str">
        <f>"0,6269"</f>
        <v>0,6269</v>
      </c>
      <c r="F105" s="20" t="s">
        <v>1522</v>
      </c>
      <c r="G105" s="20" t="s">
        <v>1614</v>
      </c>
      <c r="H105" s="21" t="s">
        <v>96</v>
      </c>
      <c r="I105" s="21" t="s">
        <v>124</v>
      </c>
      <c r="J105" s="22" t="s">
        <v>105</v>
      </c>
      <c r="K105" s="19"/>
      <c r="L105" s="21" t="s">
        <v>35</v>
      </c>
      <c r="M105" s="21" t="s">
        <v>29</v>
      </c>
      <c r="N105" s="21" t="s">
        <v>30</v>
      </c>
      <c r="O105" s="19"/>
      <c r="P105" s="21" t="s">
        <v>124</v>
      </c>
      <c r="Q105" s="22" t="s">
        <v>105</v>
      </c>
      <c r="R105" s="21" t="s">
        <v>125</v>
      </c>
      <c r="S105" s="19"/>
      <c r="T105" s="19" t="str">
        <f>"665,0"</f>
        <v>665,0</v>
      </c>
      <c r="U105" s="19" t="str">
        <f>"416,8885"</f>
        <v>416,8885</v>
      </c>
      <c r="V105" s="20" t="s">
        <v>382</v>
      </c>
    </row>
    <row r="106" spans="1:22" ht="12.75">
      <c r="A106" s="19" t="s">
        <v>223</v>
      </c>
      <c r="B106" s="19" t="s">
        <v>383</v>
      </c>
      <c r="C106" s="20" t="s">
        <v>1256</v>
      </c>
      <c r="D106" s="20" t="s">
        <v>384</v>
      </c>
      <c r="E106" s="20" t="str">
        <f>"0,6139"</f>
        <v>0,6139</v>
      </c>
      <c r="F106" s="20" t="s">
        <v>1522</v>
      </c>
      <c r="G106" s="20" t="s">
        <v>1623</v>
      </c>
      <c r="H106" s="21" t="s">
        <v>63</v>
      </c>
      <c r="I106" s="21" t="s">
        <v>83</v>
      </c>
      <c r="J106" s="22" t="s">
        <v>96</v>
      </c>
      <c r="K106" s="19"/>
      <c r="L106" s="21" t="s">
        <v>17</v>
      </c>
      <c r="M106" s="21" t="s">
        <v>23</v>
      </c>
      <c r="N106" s="22" t="s">
        <v>18</v>
      </c>
      <c r="O106" s="19"/>
      <c r="P106" s="21" t="s">
        <v>104</v>
      </c>
      <c r="Q106" s="21" t="s">
        <v>124</v>
      </c>
      <c r="R106" s="22" t="s">
        <v>105</v>
      </c>
      <c r="S106" s="19"/>
      <c r="T106" s="19" t="str">
        <f>"645,0"</f>
        <v>645,0</v>
      </c>
      <c r="U106" s="19" t="str">
        <f>"395,9655"</f>
        <v>395,9655</v>
      </c>
      <c r="V106" s="20" t="s">
        <v>41</v>
      </c>
    </row>
    <row r="107" spans="1:22" ht="12.75">
      <c r="A107" s="19" t="s">
        <v>224</v>
      </c>
      <c r="B107" s="19" t="s">
        <v>385</v>
      </c>
      <c r="C107" s="20" t="s">
        <v>1257</v>
      </c>
      <c r="D107" s="20" t="s">
        <v>386</v>
      </c>
      <c r="E107" s="20" t="str">
        <f>"0,6174"</f>
        <v>0,6174</v>
      </c>
      <c r="F107" s="20" t="s">
        <v>1522</v>
      </c>
      <c r="G107" s="20" t="s">
        <v>1567</v>
      </c>
      <c r="H107" s="22" t="s">
        <v>65</v>
      </c>
      <c r="I107" s="21" t="s">
        <v>65</v>
      </c>
      <c r="J107" s="22" t="s">
        <v>66</v>
      </c>
      <c r="K107" s="19"/>
      <c r="L107" s="21" t="s">
        <v>44</v>
      </c>
      <c r="M107" s="21" t="s">
        <v>113</v>
      </c>
      <c r="N107" s="21" t="s">
        <v>114</v>
      </c>
      <c r="O107" s="19"/>
      <c r="P107" s="21" t="s">
        <v>63</v>
      </c>
      <c r="Q107" s="21" t="s">
        <v>96</v>
      </c>
      <c r="R107" s="22" t="s">
        <v>120</v>
      </c>
      <c r="S107" s="19"/>
      <c r="T107" s="19" t="str">
        <f>"572,5"</f>
        <v>572,5</v>
      </c>
      <c r="U107" s="19" t="str">
        <f>"353,4615"</f>
        <v>353,4615</v>
      </c>
      <c r="V107" s="20" t="s">
        <v>387</v>
      </c>
    </row>
    <row r="108" spans="1:22" ht="12.75">
      <c r="A108" s="19" t="s">
        <v>225</v>
      </c>
      <c r="B108" s="19" t="s">
        <v>388</v>
      </c>
      <c r="C108" s="20" t="s">
        <v>1258</v>
      </c>
      <c r="D108" s="20" t="s">
        <v>389</v>
      </c>
      <c r="E108" s="20" t="str">
        <f>"0,6161"</f>
        <v>0,6161</v>
      </c>
      <c r="F108" s="20" t="s">
        <v>1522</v>
      </c>
      <c r="G108" s="20" t="s">
        <v>1601</v>
      </c>
      <c r="H108" s="21" t="s">
        <v>76</v>
      </c>
      <c r="I108" s="22" t="s">
        <v>65</v>
      </c>
      <c r="J108" s="22" t="s">
        <v>65</v>
      </c>
      <c r="K108" s="19"/>
      <c r="L108" s="22" t="s">
        <v>12</v>
      </c>
      <c r="M108" s="21" t="s">
        <v>12</v>
      </c>
      <c r="N108" s="22" t="s">
        <v>280</v>
      </c>
      <c r="O108" s="19"/>
      <c r="P108" s="21" t="s">
        <v>17</v>
      </c>
      <c r="Q108" s="19"/>
      <c r="R108" s="19"/>
      <c r="S108" s="19"/>
      <c r="T108" s="19" t="str">
        <f>"450,0"</f>
        <v>450,0</v>
      </c>
      <c r="U108" s="19" t="str">
        <f>"277,2450"</f>
        <v>277,2450</v>
      </c>
      <c r="V108" s="20" t="s">
        <v>322</v>
      </c>
    </row>
    <row r="109" spans="1:22" ht="12.75">
      <c r="A109" s="19" t="s">
        <v>217</v>
      </c>
      <c r="B109" s="19" t="s">
        <v>390</v>
      </c>
      <c r="C109" s="20" t="s">
        <v>1415</v>
      </c>
      <c r="D109" s="20" t="s">
        <v>389</v>
      </c>
      <c r="E109" s="20" t="str">
        <f>"0,6161"</f>
        <v>0,6161</v>
      </c>
      <c r="F109" s="20" t="s">
        <v>1556</v>
      </c>
      <c r="G109" s="20" t="s">
        <v>1557</v>
      </c>
      <c r="H109" s="22" t="s">
        <v>65</v>
      </c>
      <c r="I109" s="21" t="s">
        <v>65</v>
      </c>
      <c r="J109" s="21" t="s">
        <v>84</v>
      </c>
      <c r="K109" s="19"/>
      <c r="L109" s="21" t="s">
        <v>132</v>
      </c>
      <c r="M109" s="21" t="s">
        <v>55</v>
      </c>
      <c r="N109" s="22" t="s">
        <v>72</v>
      </c>
      <c r="O109" s="19"/>
      <c r="P109" s="22" t="s">
        <v>64</v>
      </c>
      <c r="Q109" s="21" t="s">
        <v>66</v>
      </c>
      <c r="R109" s="21" t="s">
        <v>63</v>
      </c>
      <c r="S109" s="19"/>
      <c r="T109" s="19" t="str">
        <f>"610,0"</f>
        <v>610,0</v>
      </c>
      <c r="U109" s="19" t="str">
        <f>"375,8210"</f>
        <v>375,8210</v>
      </c>
      <c r="V109" s="20" t="s">
        <v>390</v>
      </c>
    </row>
    <row r="110" spans="1:22" ht="12.75">
      <c r="A110" s="19" t="s">
        <v>217</v>
      </c>
      <c r="B110" s="19" t="s">
        <v>391</v>
      </c>
      <c r="C110" s="20" t="s">
        <v>1416</v>
      </c>
      <c r="D110" s="20" t="s">
        <v>392</v>
      </c>
      <c r="E110" s="20" t="str">
        <f>"0,6169"</f>
        <v>0,6169</v>
      </c>
      <c r="F110" s="20" t="s">
        <v>1522</v>
      </c>
      <c r="G110" s="20" t="s">
        <v>1624</v>
      </c>
      <c r="H110" s="21" t="s">
        <v>64</v>
      </c>
      <c r="I110" s="22" t="s">
        <v>190</v>
      </c>
      <c r="J110" s="21" t="s">
        <v>190</v>
      </c>
      <c r="K110" s="19"/>
      <c r="L110" s="21" t="s">
        <v>34</v>
      </c>
      <c r="M110" s="21" t="s">
        <v>44</v>
      </c>
      <c r="N110" s="21" t="s">
        <v>28</v>
      </c>
      <c r="O110" s="19"/>
      <c r="P110" s="21" t="s">
        <v>66</v>
      </c>
      <c r="Q110" s="21" t="s">
        <v>95</v>
      </c>
      <c r="R110" s="21" t="s">
        <v>104</v>
      </c>
      <c r="S110" s="19"/>
      <c r="T110" s="19" t="str">
        <f>"565,0"</f>
        <v>565,0</v>
      </c>
      <c r="U110" s="19" t="str">
        <f>"443,7023"</f>
        <v>443,7023</v>
      </c>
      <c r="V110" s="20" t="s">
        <v>393</v>
      </c>
    </row>
    <row r="111" spans="1:22" ht="12.75">
      <c r="A111" s="17" t="s">
        <v>220</v>
      </c>
      <c r="B111" s="17" t="s">
        <v>394</v>
      </c>
      <c r="C111" s="18" t="s">
        <v>1392</v>
      </c>
      <c r="D111" s="18" t="s">
        <v>395</v>
      </c>
      <c r="E111" s="18" t="str">
        <f>"0,6118"</f>
        <v>0,6118</v>
      </c>
      <c r="F111" s="18" t="s">
        <v>1540</v>
      </c>
      <c r="G111" s="18" t="s">
        <v>1539</v>
      </c>
      <c r="H111" s="23" t="s">
        <v>28</v>
      </c>
      <c r="I111" s="23" t="s">
        <v>30</v>
      </c>
      <c r="J111" s="23" t="s">
        <v>76</v>
      </c>
      <c r="K111" s="17"/>
      <c r="L111" s="23" t="s">
        <v>29</v>
      </c>
      <c r="M111" s="24" t="s">
        <v>48</v>
      </c>
      <c r="N111" s="23" t="s">
        <v>119</v>
      </c>
      <c r="O111" s="17"/>
      <c r="P111" s="23" t="s">
        <v>28</v>
      </c>
      <c r="Q111" s="17"/>
      <c r="R111" s="17"/>
      <c r="S111" s="17"/>
      <c r="T111" s="17" t="str">
        <f>"462,5"</f>
        <v>462,5</v>
      </c>
      <c r="U111" s="17" t="str">
        <f>"341,5297"</f>
        <v>341,5297</v>
      </c>
      <c r="V111" s="18" t="s">
        <v>396</v>
      </c>
    </row>
    <row r="112" ht="12.75">
      <c r="B112" s="7" t="s">
        <v>218</v>
      </c>
    </row>
    <row r="113" spans="1:21" ht="15">
      <c r="A113" s="124" t="s">
        <v>1158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</row>
    <row r="114" spans="1:22" ht="12.75">
      <c r="A114" s="13" t="s">
        <v>217</v>
      </c>
      <c r="B114" s="13" t="s">
        <v>397</v>
      </c>
      <c r="C114" s="14" t="s">
        <v>1497</v>
      </c>
      <c r="D114" s="14" t="s">
        <v>398</v>
      </c>
      <c r="E114" s="14" t="str">
        <f>"0,6021"</f>
        <v>0,6021</v>
      </c>
      <c r="F114" s="14" t="s">
        <v>257</v>
      </c>
      <c r="G114" s="14" t="s">
        <v>1625</v>
      </c>
      <c r="H114" s="16" t="s">
        <v>63</v>
      </c>
      <c r="I114" s="15" t="s">
        <v>96</v>
      </c>
      <c r="J114" s="16" t="s">
        <v>96</v>
      </c>
      <c r="K114" s="13"/>
      <c r="L114" s="16" t="s">
        <v>17</v>
      </c>
      <c r="M114" s="16" t="s">
        <v>18</v>
      </c>
      <c r="N114" s="16" t="s">
        <v>24</v>
      </c>
      <c r="O114" s="15" t="s">
        <v>337</v>
      </c>
      <c r="P114" s="16" t="s">
        <v>63</v>
      </c>
      <c r="Q114" s="16" t="s">
        <v>104</v>
      </c>
      <c r="R114" s="15" t="s">
        <v>124</v>
      </c>
      <c r="S114" s="13"/>
      <c r="T114" s="13" t="str">
        <f>"647,5"</f>
        <v>647,5</v>
      </c>
      <c r="U114" s="13" t="str">
        <f>"389,8598"</f>
        <v>389,8598</v>
      </c>
      <c r="V114" s="14" t="s">
        <v>41</v>
      </c>
    </row>
    <row r="115" spans="1:22" ht="12.75">
      <c r="A115" s="19" t="s">
        <v>217</v>
      </c>
      <c r="B115" s="19" t="s">
        <v>399</v>
      </c>
      <c r="C115" s="20" t="s">
        <v>1259</v>
      </c>
      <c r="D115" s="20" t="s">
        <v>400</v>
      </c>
      <c r="E115" s="20" t="str">
        <f>"0,5928"</f>
        <v>0,5928</v>
      </c>
      <c r="F115" s="20" t="s">
        <v>1556</v>
      </c>
      <c r="G115" s="20" t="s">
        <v>1557</v>
      </c>
      <c r="H115" s="21" t="s">
        <v>170</v>
      </c>
      <c r="I115" s="21" t="s">
        <v>157</v>
      </c>
      <c r="J115" s="21" t="s">
        <v>161</v>
      </c>
      <c r="K115" s="19"/>
      <c r="L115" s="21" t="s">
        <v>91</v>
      </c>
      <c r="M115" s="21" t="s">
        <v>62</v>
      </c>
      <c r="N115" s="22" t="s">
        <v>158</v>
      </c>
      <c r="O115" s="19"/>
      <c r="P115" s="21" t="s">
        <v>106</v>
      </c>
      <c r="Q115" s="22" t="s">
        <v>401</v>
      </c>
      <c r="R115" s="22" t="s">
        <v>401</v>
      </c>
      <c r="S115" s="19"/>
      <c r="T115" s="19" t="str">
        <f>"802,5"</f>
        <v>802,5</v>
      </c>
      <c r="U115" s="19" t="str">
        <f>"475,7220"</f>
        <v>475,7220</v>
      </c>
      <c r="V115" s="20" t="s">
        <v>41</v>
      </c>
    </row>
    <row r="116" spans="1:22" ht="12.75">
      <c r="A116" s="19" t="s">
        <v>220</v>
      </c>
      <c r="B116" s="19" t="s">
        <v>402</v>
      </c>
      <c r="C116" s="20" t="s">
        <v>1260</v>
      </c>
      <c r="D116" s="20" t="s">
        <v>403</v>
      </c>
      <c r="E116" s="20" t="str">
        <f>"0,5898"</f>
        <v>0,5898</v>
      </c>
      <c r="F116" s="20" t="s">
        <v>1696</v>
      </c>
      <c r="G116" s="20" t="s">
        <v>1626</v>
      </c>
      <c r="H116" s="21" t="s">
        <v>106</v>
      </c>
      <c r="I116" s="21" t="s">
        <v>170</v>
      </c>
      <c r="J116" s="22" t="s">
        <v>164</v>
      </c>
      <c r="K116" s="19"/>
      <c r="L116" s="21" t="s">
        <v>18</v>
      </c>
      <c r="M116" s="21" t="s">
        <v>70</v>
      </c>
      <c r="N116" s="21" t="s">
        <v>190</v>
      </c>
      <c r="O116" s="19"/>
      <c r="P116" s="21" t="s">
        <v>105</v>
      </c>
      <c r="Q116" s="21" t="s">
        <v>135</v>
      </c>
      <c r="R116" s="22" t="s">
        <v>401</v>
      </c>
      <c r="S116" s="19"/>
      <c r="T116" s="19" t="str">
        <f>"760,0"</f>
        <v>760,0</v>
      </c>
      <c r="U116" s="19" t="str">
        <f>"448,2480"</f>
        <v>448,2480</v>
      </c>
      <c r="V116" s="20" t="s">
        <v>41</v>
      </c>
    </row>
    <row r="117" spans="1:22" ht="12.75">
      <c r="A117" s="19" t="s">
        <v>221</v>
      </c>
      <c r="B117" s="19" t="s">
        <v>404</v>
      </c>
      <c r="C117" s="20" t="s">
        <v>1261</v>
      </c>
      <c r="D117" s="20" t="s">
        <v>400</v>
      </c>
      <c r="E117" s="20" t="str">
        <f>"0,5928"</f>
        <v>0,5928</v>
      </c>
      <c r="F117" s="20" t="s">
        <v>1522</v>
      </c>
      <c r="G117" s="20" t="s">
        <v>1627</v>
      </c>
      <c r="H117" s="22" t="s">
        <v>173</v>
      </c>
      <c r="I117" s="21" t="s">
        <v>173</v>
      </c>
      <c r="J117" s="22" t="s">
        <v>106</v>
      </c>
      <c r="K117" s="19"/>
      <c r="L117" s="21" t="s">
        <v>18</v>
      </c>
      <c r="M117" s="21" t="s">
        <v>55</v>
      </c>
      <c r="N117" s="22" t="s">
        <v>76</v>
      </c>
      <c r="O117" s="19"/>
      <c r="P117" s="22" t="s">
        <v>121</v>
      </c>
      <c r="Q117" s="21" t="s">
        <v>121</v>
      </c>
      <c r="R117" s="22" t="s">
        <v>401</v>
      </c>
      <c r="S117" s="19"/>
      <c r="T117" s="19" t="str">
        <f>"710,0"</f>
        <v>710,0</v>
      </c>
      <c r="U117" s="19" t="str">
        <f>"420,8880"</f>
        <v>420,8880</v>
      </c>
      <c r="V117" s="20" t="s">
        <v>885</v>
      </c>
    </row>
    <row r="118" spans="1:22" ht="12.75">
      <c r="A118" s="19" t="s">
        <v>222</v>
      </c>
      <c r="B118" s="19" t="s">
        <v>405</v>
      </c>
      <c r="C118" s="20" t="s">
        <v>1262</v>
      </c>
      <c r="D118" s="20" t="s">
        <v>406</v>
      </c>
      <c r="E118" s="20" t="str">
        <f>"0,5902"</f>
        <v>0,5902</v>
      </c>
      <c r="F118" s="20" t="s">
        <v>1522</v>
      </c>
      <c r="G118" s="20" t="s">
        <v>1567</v>
      </c>
      <c r="H118" s="21" t="s">
        <v>96</v>
      </c>
      <c r="I118" s="21" t="s">
        <v>124</v>
      </c>
      <c r="J118" s="22" t="s">
        <v>105</v>
      </c>
      <c r="K118" s="19"/>
      <c r="L118" s="21" t="s">
        <v>30</v>
      </c>
      <c r="M118" s="22" t="s">
        <v>17</v>
      </c>
      <c r="N118" s="22" t="s">
        <v>17</v>
      </c>
      <c r="O118" s="19"/>
      <c r="P118" s="21" t="s">
        <v>120</v>
      </c>
      <c r="Q118" s="21" t="s">
        <v>105</v>
      </c>
      <c r="R118" s="22" t="s">
        <v>106</v>
      </c>
      <c r="S118" s="19"/>
      <c r="T118" s="19" t="str">
        <f>"660,0"</f>
        <v>660,0</v>
      </c>
      <c r="U118" s="19" t="str">
        <f>"389,5320"</f>
        <v>389,5320</v>
      </c>
      <c r="V118" s="20" t="s">
        <v>41</v>
      </c>
    </row>
    <row r="119" spans="1:22" ht="12.75">
      <c r="A119" s="19" t="s">
        <v>223</v>
      </c>
      <c r="B119" s="19" t="s">
        <v>407</v>
      </c>
      <c r="C119" s="20" t="s">
        <v>1263</v>
      </c>
      <c r="D119" s="20" t="s">
        <v>408</v>
      </c>
      <c r="E119" s="20" t="str">
        <f>"0,6019"</f>
        <v>0,6019</v>
      </c>
      <c r="F119" s="20" t="s">
        <v>1522</v>
      </c>
      <c r="G119" s="20" t="s">
        <v>1628</v>
      </c>
      <c r="H119" s="22" t="s">
        <v>63</v>
      </c>
      <c r="I119" s="21" t="s">
        <v>95</v>
      </c>
      <c r="J119" s="21" t="s">
        <v>83</v>
      </c>
      <c r="K119" s="19"/>
      <c r="L119" s="21" t="s">
        <v>30</v>
      </c>
      <c r="M119" s="21" t="s">
        <v>17</v>
      </c>
      <c r="N119" s="22" t="s">
        <v>18</v>
      </c>
      <c r="O119" s="19"/>
      <c r="P119" s="21" t="s">
        <v>63</v>
      </c>
      <c r="Q119" s="21" t="s">
        <v>83</v>
      </c>
      <c r="R119" s="21" t="s">
        <v>104</v>
      </c>
      <c r="S119" s="19"/>
      <c r="T119" s="19" t="str">
        <f>"630,0"</f>
        <v>630,0</v>
      </c>
      <c r="U119" s="19" t="str">
        <f>"379,1970"</f>
        <v>379,1970</v>
      </c>
      <c r="V119" s="20" t="s">
        <v>41</v>
      </c>
    </row>
    <row r="120" spans="1:22" ht="12.75">
      <c r="A120" s="19" t="s">
        <v>217</v>
      </c>
      <c r="B120" s="19" t="s">
        <v>410</v>
      </c>
      <c r="C120" s="20" t="s">
        <v>1417</v>
      </c>
      <c r="D120" s="20" t="s">
        <v>411</v>
      </c>
      <c r="E120" s="20" t="str">
        <f>"0,5948"</f>
        <v>0,5948</v>
      </c>
      <c r="F120" s="20" t="s">
        <v>1556</v>
      </c>
      <c r="G120" s="20" t="s">
        <v>1557</v>
      </c>
      <c r="H120" s="21" t="s">
        <v>66</v>
      </c>
      <c r="I120" s="21" t="s">
        <v>83</v>
      </c>
      <c r="J120" s="21" t="s">
        <v>104</v>
      </c>
      <c r="K120" s="19"/>
      <c r="L120" s="21" t="s">
        <v>18</v>
      </c>
      <c r="M120" s="21" t="s">
        <v>76</v>
      </c>
      <c r="N120" s="22" t="s">
        <v>190</v>
      </c>
      <c r="O120" s="19"/>
      <c r="P120" s="21" t="s">
        <v>83</v>
      </c>
      <c r="Q120" s="21" t="s">
        <v>124</v>
      </c>
      <c r="R120" s="21" t="s">
        <v>105</v>
      </c>
      <c r="S120" s="19"/>
      <c r="T120" s="19" t="str">
        <f>"680,0"</f>
        <v>680,0</v>
      </c>
      <c r="U120" s="19" t="str">
        <f>"422,2604"</f>
        <v>422,2604</v>
      </c>
      <c r="V120" s="20" t="s">
        <v>41</v>
      </c>
    </row>
    <row r="121" spans="1:22" ht="12.75">
      <c r="A121" s="19" t="s">
        <v>220</v>
      </c>
      <c r="B121" s="19" t="s">
        <v>412</v>
      </c>
      <c r="C121" s="20" t="s">
        <v>1418</v>
      </c>
      <c r="D121" s="20" t="s">
        <v>413</v>
      </c>
      <c r="E121" s="20" t="str">
        <f>"0,6039"</f>
        <v>0,6039</v>
      </c>
      <c r="F121" s="20" t="s">
        <v>1522</v>
      </c>
      <c r="G121" s="20" t="s">
        <v>1629</v>
      </c>
      <c r="H121" s="21" t="s">
        <v>83</v>
      </c>
      <c r="I121" s="21" t="s">
        <v>124</v>
      </c>
      <c r="J121" s="22" t="s">
        <v>105</v>
      </c>
      <c r="K121" s="19"/>
      <c r="L121" s="21" t="s">
        <v>30</v>
      </c>
      <c r="M121" s="21" t="s">
        <v>17</v>
      </c>
      <c r="N121" s="21" t="s">
        <v>49</v>
      </c>
      <c r="O121" s="19"/>
      <c r="P121" s="21" t="s">
        <v>65</v>
      </c>
      <c r="Q121" s="21" t="s">
        <v>63</v>
      </c>
      <c r="R121" s="21" t="s">
        <v>95</v>
      </c>
      <c r="S121" s="19"/>
      <c r="T121" s="19" t="str">
        <f>"637,5"</f>
        <v>637,5</v>
      </c>
      <c r="U121" s="19" t="str">
        <f>"384,9863"</f>
        <v>384,9863</v>
      </c>
      <c r="V121" s="20" t="s">
        <v>41</v>
      </c>
    </row>
    <row r="122" spans="1:22" ht="12.75">
      <c r="A122" s="17" t="s">
        <v>221</v>
      </c>
      <c r="B122" s="17" t="s">
        <v>414</v>
      </c>
      <c r="C122" s="18" t="s">
        <v>1419</v>
      </c>
      <c r="D122" s="18" t="s">
        <v>415</v>
      </c>
      <c r="E122" s="18" t="str">
        <f>"0,6055"</f>
        <v>0,6055</v>
      </c>
      <c r="F122" s="18" t="s">
        <v>1522</v>
      </c>
      <c r="G122" s="18" t="s">
        <v>1630</v>
      </c>
      <c r="H122" s="23" t="s">
        <v>76</v>
      </c>
      <c r="I122" s="23" t="s">
        <v>64</v>
      </c>
      <c r="J122" s="23" t="s">
        <v>65</v>
      </c>
      <c r="K122" s="17"/>
      <c r="L122" s="23" t="s">
        <v>17</v>
      </c>
      <c r="M122" s="23" t="s">
        <v>18</v>
      </c>
      <c r="N122" s="23" t="s">
        <v>55</v>
      </c>
      <c r="O122" s="17"/>
      <c r="P122" s="23" t="s">
        <v>30</v>
      </c>
      <c r="Q122" s="23" t="s">
        <v>17</v>
      </c>
      <c r="R122" s="23" t="s">
        <v>18</v>
      </c>
      <c r="S122" s="17"/>
      <c r="T122" s="17" t="str">
        <f>"545,0"</f>
        <v>545,0</v>
      </c>
      <c r="U122" s="17" t="str">
        <f>"361,6772"</f>
        <v>361,6772</v>
      </c>
      <c r="V122" s="18" t="s">
        <v>41</v>
      </c>
    </row>
    <row r="123" ht="12.75">
      <c r="B123" s="7" t="s">
        <v>218</v>
      </c>
    </row>
    <row r="124" spans="1:21" ht="15">
      <c r="A124" s="124" t="s">
        <v>1159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</row>
    <row r="125" spans="1:22" ht="12.75">
      <c r="A125" s="13" t="s">
        <v>217</v>
      </c>
      <c r="B125" s="13" t="s">
        <v>416</v>
      </c>
      <c r="C125" s="14" t="s">
        <v>1467</v>
      </c>
      <c r="D125" s="14" t="s">
        <v>417</v>
      </c>
      <c r="E125" s="14" t="str">
        <f>"0,5774"</f>
        <v>0,5774</v>
      </c>
      <c r="F125" s="14" t="s">
        <v>1561</v>
      </c>
      <c r="G125" s="14" t="s">
        <v>1564</v>
      </c>
      <c r="H125" s="16" t="s">
        <v>66</v>
      </c>
      <c r="I125" s="16" t="s">
        <v>95</v>
      </c>
      <c r="J125" s="16" t="s">
        <v>120</v>
      </c>
      <c r="K125" s="13"/>
      <c r="L125" s="16" t="s">
        <v>35</v>
      </c>
      <c r="M125" s="16" t="s">
        <v>29</v>
      </c>
      <c r="N125" s="16" t="s">
        <v>30</v>
      </c>
      <c r="O125" s="13"/>
      <c r="P125" s="16" t="s">
        <v>95</v>
      </c>
      <c r="Q125" s="16" t="s">
        <v>104</v>
      </c>
      <c r="R125" s="15" t="s">
        <v>173</v>
      </c>
      <c r="S125" s="13"/>
      <c r="T125" s="13" t="str">
        <f>"635,0"</f>
        <v>635,0</v>
      </c>
      <c r="U125" s="13" t="str">
        <f>"366,6490"</f>
        <v>366,6490</v>
      </c>
      <c r="V125" s="14" t="s">
        <v>886</v>
      </c>
    </row>
    <row r="126" spans="1:22" ht="12.75">
      <c r="A126" s="19" t="s">
        <v>217</v>
      </c>
      <c r="B126" s="19" t="s">
        <v>418</v>
      </c>
      <c r="C126" s="20" t="s">
        <v>1264</v>
      </c>
      <c r="D126" s="20" t="s">
        <v>419</v>
      </c>
      <c r="E126" s="20" t="str">
        <f>"0,5759"</f>
        <v>0,5759</v>
      </c>
      <c r="F126" s="20" t="s">
        <v>1556</v>
      </c>
      <c r="G126" s="20" t="s">
        <v>1557</v>
      </c>
      <c r="H126" s="21" t="s">
        <v>121</v>
      </c>
      <c r="I126" s="22" t="s">
        <v>164</v>
      </c>
      <c r="J126" s="22" t="s">
        <v>157</v>
      </c>
      <c r="K126" s="19"/>
      <c r="L126" s="21" t="s">
        <v>64</v>
      </c>
      <c r="M126" s="22" t="s">
        <v>367</v>
      </c>
      <c r="N126" s="21" t="s">
        <v>91</v>
      </c>
      <c r="O126" s="19"/>
      <c r="P126" s="21" t="s">
        <v>354</v>
      </c>
      <c r="Q126" s="21" t="s">
        <v>135</v>
      </c>
      <c r="R126" s="21" t="s">
        <v>99</v>
      </c>
      <c r="S126" s="19"/>
      <c r="T126" s="19" t="str">
        <f>"767,5"</f>
        <v>767,5</v>
      </c>
      <c r="U126" s="19" t="str">
        <f>"442,0033"</f>
        <v>442,0033</v>
      </c>
      <c r="V126" s="20" t="s">
        <v>390</v>
      </c>
    </row>
    <row r="127" spans="1:22" ht="12.75">
      <c r="A127" s="19" t="s">
        <v>220</v>
      </c>
      <c r="B127" s="19" t="s">
        <v>420</v>
      </c>
      <c r="C127" s="20" t="s">
        <v>1265</v>
      </c>
      <c r="D127" s="20" t="s">
        <v>421</v>
      </c>
      <c r="E127" s="20" t="str">
        <f>"0,5776"</f>
        <v>0,5776</v>
      </c>
      <c r="F127" s="20" t="s">
        <v>1522</v>
      </c>
      <c r="G127" s="20" t="s">
        <v>1567</v>
      </c>
      <c r="H127" s="21" t="s">
        <v>135</v>
      </c>
      <c r="I127" s="22" t="s">
        <v>155</v>
      </c>
      <c r="J127" s="21" t="s">
        <v>155</v>
      </c>
      <c r="K127" s="19"/>
      <c r="L127" s="21" t="s">
        <v>18</v>
      </c>
      <c r="M127" s="21" t="s">
        <v>76</v>
      </c>
      <c r="N127" s="22" t="s">
        <v>64</v>
      </c>
      <c r="O127" s="19"/>
      <c r="P127" s="21" t="s">
        <v>105</v>
      </c>
      <c r="Q127" s="21" t="s">
        <v>135</v>
      </c>
      <c r="R127" s="22" t="s">
        <v>422</v>
      </c>
      <c r="S127" s="19"/>
      <c r="T127" s="19" t="str">
        <f>"750,0"</f>
        <v>750,0</v>
      </c>
      <c r="U127" s="19" t="str">
        <f>"433,2000"</f>
        <v>433,2000</v>
      </c>
      <c r="V127" s="20" t="s">
        <v>41</v>
      </c>
    </row>
    <row r="128" spans="1:22" ht="12.75">
      <c r="A128" s="19" t="s">
        <v>221</v>
      </c>
      <c r="B128" s="19" t="s">
        <v>423</v>
      </c>
      <c r="C128" s="20" t="s">
        <v>1266</v>
      </c>
      <c r="D128" s="20" t="s">
        <v>424</v>
      </c>
      <c r="E128" s="20" t="str">
        <f>"0,5713"</f>
        <v>0,5713</v>
      </c>
      <c r="F128" s="20" t="s">
        <v>1522</v>
      </c>
      <c r="G128" s="20" t="s">
        <v>1631</v>
      </c>
      <c r="H128" s="22" t="s">
        <v>105</v>
      </c>
      <c r="I128" s="21" t="s">
        <v>105</v>
      </c>
      <c r="J128" s="21" t="s">
        <v>121</v>
      </c>
      <c r="K128" s="19"/>
      <c r="L128" s="21" t="s">
        <v>23</v>
      </c>
      <c r="M128" s="21" t="s">
        <v>55</v>
      </c>
      <c r="N128" s="22" t="s">
        <v>72</v>
      </c>
      <c r="O128" s="19"/>
      <c r="P128" s="21" t="s">
        <v>121</v>
      </c>
      <c r="Q128" s="21" t="s">
        <v>422</v>
      </c>
      <c r="R128" s="22" t="s">
        <v>425</v>
      </c>
      <c r="S128" s="19"/>
      <c r="T128" s="19" t="str">
        <f>"747,5"</f>
        <v>747,5</v>
      </c>
      <c r="U128" s="19" t="str">
        <f>"427,0468"</f>
        <v>427,0468</v>
      </c>
      <c r="V128" s="20" t="s">
        <v>426</v>
      </c>
    </row>
    <row r="129" spans="1:22" ht="12.75">
      <c r="A129" s="19" t="s">
        <v>222</v>
      </c>
      <c r="B129" s="19" t="s">
        <v>427</v>
      </c>
      <c r="C129" s="20" t="s">
        <v>1267</v>
      </c>
      <c r="D129" s="20" t="s">
        <v>428</v>
      </c>
      <c r="E129" s="20" t="str">
        <f>"0,5815"</f>
        <v>0,5815</v>
      </c>
      <c r="F129" s="20" t="s">
        <v>1540</v>
      </c>
      <c r="G129" s="20" t="s">
        <v>1539</v>
      </c>
      <c r="H129" s="21" t="s">
        <v>105</v>
      </c>
      <c r="I129" s="21" t="s">
        <v>121</v>
      </c>
      <c r="J129" s="22" t="s">
        <v>164</v>
      </c>
      <c r="K129" s="19"/>
      <c r="L129" s="21" t="s">
        <v>17</v>
      </c>
      <c r="M129" s="21" t="s">
        <v>18</v>
      </c>
      <c r="N129" s="22" t="s">
        <v>76</v>
      </c>
      <c r="O129" s="19"/>
      <c r="P129" s="21" t="s">
        <v>83</v>
      </c>
      <c r="Q129" s="21" t="s">
        <v>104</v>
      </c>
      <c r="R129" s="22" t="s">
        <v>120</v>
      </c>
      <c r="S129" s="19"/>
      <c r="T129" s="19" t="str">
        <f>"690,0"</f>
        <v>690,0</v>
      </c>
      <c r="U129" s="19" t="str">
        <f>"401,2350"</f>
        <v>401,2350</v>
      </c>
      <c r="V129" s="20" t="s">
        <v>41</v>
      </c>
    </row>
    <row r="130" spans="1:22" ht="12.75">
      <c r="A130" s="19" t="s">
        <v>217</v>
      </c>
      <c r="B130" s="19" t="s">
        <v>427</v>
      </c>
      <c r="C130" s="20" t="s">
        <v>1420</v>
      </c>
      <c r="D130" s="20" t="s">
        <v>428</v>
      </c>
      <c r="E130" s="20" t="str">
        <f>"0,5815"</f>
        <v>0,5815</v>
      </c>
      <c r="F130" s="20" t="s">
        <v>1540</v>
      </c>
      <c r="G130" s="20" t="s">
        <v>1539</v>
      </c>
      <c r="H130" s="21" t="s">
        <v>105</v>
      </c>
      <c r="I130" s="21" t="s">
        <v>121</v>
      </c>
      <c r="J130" s="22" t="s">
        <v>164</v>
      </c>
      <c r="K130" s="19"/>
      <c r="L130" s="21" t="s">
        <v>17</v>
      </c>
      <c r="M130" s="21" t="s">
        <v>18</v>
      </c>
      <c r="N130" s="22" t="s">
        <v>76</v>
      </c>
      <c r="O130" s="19"/>
      <c r="P130" s="21" t="s">
        <v>83</v>
      </c>
      <c r="Q130" s="21" t="s">
        <v>104</v>
      </c>
      <c r="R130" s="22" t="s">
        <v>120</v>
      </c>
      <c r="S130" s="19"/>
      <c r="T130" s="19" t="str">
        <f>"690,0"</f>
        <v>690,0</v>
      </c>
      <c r="U130" s="19" t="str">
        <f>"401,2350"</f>
        <v>401,2350</v>
      </c>
      <c r="V130" s="20" t="s">
        <v>41</v>
      </c>
    </row>
    <row r="131" spans="1:22" ht="12.75">
      <c r="A131" s="19" t="s">
        <v>217</v>
      </c>
      <c r="B131" s="19" t="s">
        <v>429</v>
      </c>
      <c r="C131" s="20" t="s">
        <v>1421</v>
      </c>
      <c r="D131" s="20" t="s">
        <v>430</v>
      </c>
      <c r="E131" s="20" t="str">
        <f>"0,5723"</f>
        <v>0,5723</v>
      </c>
      <c r="F131" s="20" t="s">
        <v>1522</v>
      </c>
      <c r="G131" s="20" t="s">
        <v>1632</v>
      </c>
      <c r="H131" s="21" t="s">
        <v>18</v>
      </c>
      <c r="I131" s="21" t="s">
        <v>64</v>
      </c>
      <c r="J131" s="22" t="s">
        <v>66</v>
      </c>
      <c r="K131" s="19"/>
      <c r="L131" s="21" t="s">
        <v>29</v>
      </c>
      <c r="M131" s="21" t="s">
        <v>17</v>
      </c>
      <c r="N131" s="21" t="s">
        <v>18</v>
      </c>
      <c r="O131" s="19"/>
      <c r="P131" s="21" t="s">
        <v>65</v>
      </c>
      <c r="Q131" s="21" t="s">
        <v>63</v>
      </c>
      <c r="R131" s="21" t="s">
        <v>104</v>
      </c>
      <c r="S131" s="19"/>
      <c r="T131" s="19" t="str">
        <f>"600,0"</f>
        <v>600,0</v>
      </c>
      <c r="U131" s="19" t="str">
        <f>"421,6707"</f>
        <v>421,6707</v>
      </c>
      <c r="V131" s="20" t="s">
        <v>431</v>
      </c>
    </row>
    <row r="132" spans="1:22" ht="12.75">
      <c r="A132" s="17" t="s">
        <v>220</v>
      </c>
      <c r="B132" s="17" t="s">
        <v>870</v>
      </c>
      <c r="C132" s="18" t="s">
        <v>1422</v>
      </c>
      <c r="D132" s="18" t="s">
        <v>432</v>
      </c>
      <c r="E132" s="18" t="str">
        <f>"0,5826"</f>
        <v>0,5826</v>
      </c>
      <c r="F132" s="18" t="s">
        <v>1556</v>
      </c>
      <c r="G132" s="18" t="s">
        <v>1557</v>
      </c>
      <c r="H132" s="23" t="s">
        <v>30</v>
      </c>
      <c r="I132" s="17"/>
      <c r="J132" s="17"/>
      <c r="K132" s="17"/>
      <c r="L132" s="23" t="s">
        <v>18</v>
      </c>
      <c r="M132" s="23" t="s">
        <v>76</v>
      </c>
      <c r="N132" s="24" t="s">
        <v>190</v>
      </c>
      <c r="O132" s="17"/>
      <c r="P132" s="23" t="s">
        <v>18</v>
      </c>
      <c r="Q132" s="17"/>
      <c r="R132" s="17"/>
      <c r="S132" s="17"/>
      <c r="T132" s="17" t="str">
        <f>"500,0"</f>
        <v>500,0</v>
      </c>
      <c r="U132" s="17" t="str">
        <f>"334,9950"</f>
        <v>334,9950</v>
      </c>
      <c r="V132" s="18" t="s">
        <v>41</v>
      </c>
    </row>
    <row r="133" ht="12.75">
      <c r="B133" s="7" t="s">
        <v>218</v>
      </c>
    </row>
    <row r="134" spans="1:21" ht="15">
      <c r="A134" s="124" t="s">
        <v>1160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</row>
    <row r="135" spans="1:22" ht="12.75">
      <c r="A135" s="8" t="s">
        <v>217</v>
      </c>
      <c r="B135" s="8" t="s">
        <v>433</v>
      </c>
      <c r="C135" s="9" t="s">
        <v>1192</v>
      </c>
      <c r="D135" s="9" t="s">
        <v>434</v>
      </c>
      <c r="E135" s="9" t="str">
        <f>"0,5603"</f>
        <v>0,5603</v>
      </c>
      <c r="F135" s="9" t="s">
        <v>1556</v>
      </c>
      <c r="G135" s="9" t="s">
        <v>1557</v>
      </c>
      <c r="H135" s="10" t="s">
        <v>106</v>
      </c>
      <c r="I135" s="10" t="s">
        <v>164</v>
      </c>
      <c r="J135" s="11" t="s">
        <v>161</v>
      </c>
      <c r="K135" s="8"/>
      <c r="L135" s="10" t="s">
        <v>91</v>
      </c>
      <c r="M135" s="10" t="s">
        <v>84</v>
      </c>
      <c r="N135" s="11" t="s">
        <v>128</v>
      </c>
      <c r="O135" s="8"/>
      <c r="P135" s="10" t="s">
        <v>124</v>
      </c>
      <c r="Q135" s="8"/>
      <c r="R135" s="8"/>
      <c r="S135" s="8"/>
      <c r="T135" s="8" t="str">
        <f>"765,0"</f>
        <v>765,0</v>
      </c>
      <c r="U135" s="8" t="str">
        <f>"428,6295"</f>
        <v>428,6295</v>
      </c>
      <c r="V135" s="9" t="s">
        <v>390</v>
      </c>
    </row>
    <row r="136" ht="12.75">
      <c r="B136" s="7" t="s">
        <v>218</v>
      </c>
    </row>
    <row r="137" spans="1:21" ht="15">
      <c r="A137" s="124" t="s">
        <v>1161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</row>
    <row r="138" spans="1:22" ht="12.75">
      <c r="A138" s="13" t="s">
        <v>217</v>
      </c>
      <c r="B138" s="13" t="s">
        <v>435</v>
      </c>
      <c r="C138" s="14" t="s">
        <v>1268</v>
      </c>
      <c r="D138" s="14" t="s">
        <v>436</v>
      </c>
      <c r="E138" s="14" t="str">
        <f>"0,5579"</f>
        <v>0,5579</v>
      </c>
      <c r="F138" s="14" t="s">
        <v>1556</v>
      </c>
      <c r="G138" s="14" t="s">
        <v>1557</v>
      </c>
      <c r="H138" s="16" t="s">
        <v>162</v>
      </c>
      <c r="I138" s="16" t="s">
        <v>437</v>
      </c>
      <c r="J138" s="16" t="s">
        <v>438</v>
      </c>
      <c r="K138" s="13"/>
      <c r="L138" s="16" t="s">
        <v>95</v>
      </c>
      <c r="M138" s="16" t="s">
        <v>96</v>
      </c>
      <c r="N138" s="15" t="s">
        <v>104</v>
      </c>
      <c r="O138" s="13"/>
      <c r="P138" s="16" t="s">
        <v>164</v>
      </c>
      <c r="Q138" s="13"/>
      <c r="R138" s="13"/>
      <c r="S138" s="13"/>
      <c r="T138" s="13" t="str">
        <f>"905,0"</f>
        <v>905,0</v>
      </c>
      <c r="U138" s="13" t="str">
        <f>"504,8995"</f>
        <v>504,8995</v>
      </c>
      <c r="V138" s="14" t="s">
        <v>390</v>
      </c>
    </row>
    <row r="139" spans="1:22" ht="12.75">
      <c r="A139" s="17" t="s">
        <v>219</v>
      </c>
      <c r="B139" s="17" t="s">
        <v>439</v>
      </c>
      <c r="C139" s="18" t="s">
        <v>1269</v>
      </c>
      <c r="D139" s="18" t="s">
        <v>440</v>
      </c>
      <c r="E139" s="18" t="str">
        <f>"0,5559"</f>
        <v>0,5559</v>
      </c>
      <c r="F139" s="18" t="s">
        <v>1522</v>
      </c>
      <c r="G139" s="18" t="s">
        <v>1618</v>
      </c>
      <c r="H139" s="24" t="s">
        <v>120</v>
      </c>
      <c r="I139" s="24" t="s">
        <v>120</v>
      </c>
      <c r="J139" s="24" t="s">
        <v>120</v>
      </c>
      <c r="K139" s="17"/>
      <c r="L139" s="24"/>
      <c r="M139" s="17"/>
      <c r="N139" s="17"/>
      <c r="O139" s="17"/>
      <c r="P139" s="24"/>
      <c r="Q139" s="17"/>
      <c r="R139" s="17"/>
      <c r="S139" s="17"/>
      <c r="T139" s="17" t="str">
        <f>"0,0"</f>
        <v>0,0</v>
      </c>
      <c r="U139" s="17" t="str">
        <f>"0,0000"</f>
        <v>0,0000</v>
      </c>
      <c r="V139" s="18" t="s">
        <v>441</v>
      </c>
    </row>
    <row r="140" ht="12.75">
      <c r="B140" s="7" t="s">
        <v>218</v>
      </c>
    </row>
    <row r="141" ht="12.75">
      <c r="B141" s="7" t="s">
        <v>218</v>
      </c>
    </row>
    <row r="142" spans="2:3" ht="18">
      <c r="B142" s="25" t="s">
        <v>1689</v>
      </c>
      <c r="C142" s="25"/>
    </row>
    <row r="143" spans="2:3" ht="15">
      <c r="B143" s="27" t="s">
        <v>1697</v>
      </c>
      <c r="C143" s="27"/>
    </row>
    <row r="144" spans="2:3" ht="14.25">
      <c r="B144" s="28"/>
      <c r="C144" s="29" t="s">
        <v>1378</v>
      </c>
    </row>
    <row r="145" spans="2:6" ht="15">
      <c r="B145" s="4" t="s">
        <v>1134</v>
      </c>
      <c r="C145" s="4" t="s">
        <v>1135</v>
      </c>
      <c r="D145" s="4" t="s">
        <v>1711</v>
      </c>
      <c r="E145" s="4" t="s">
        <v>1145</v>
      </c>
      <c r="F145" s="4" t="s">
        <v>193</v>
      </c>
    </row>
    <row r="146" spans="2:6" ht="12.75">
      <c r="B146" s="7" t="s">
        <v>267</v>
      </c>
      <c r="C146" s="6" t="s">
        <v>1378</v>
      </c>
      <c r="D146" s="7" t="s">
        <v>53</v>
      </c>
      <c r="E146" s="7" t="s">
        <v>442</v>
      </c>
      <c r="F146" s="7" t="s">
        <v>443</v>
      </c>
    </row>
    <row r="147" spans="2:6" ht="12.75">
      <c r="B147" s="7" t="s">
        <v>227</v>
      </c>
      <c r="C147" s="6" t="s">
        <v>1378</v>
      </c>
      <c r="D147" s="7" t="s">
        <v>444</v>
      </c>
      <c r="E147" s="7" t="s">
        <v>115</v>
      </c>
      <c r="F147" s="7" t="s">
        <v>445</v>
      </c>
    </row>
    <row r="148" spans="2:6" ht="12.75">
      <c r="B148" s="7" t="s">
        <v>240</v>
      </c>
      <c r="C148" s="6" t="s">
        <v>1378</v>
      </c>
      <c r="D148" s="7" t="s">
        <v>197</v>
      </c>
      <c r="E148" s="7" t="s">
        <v>105</v>
      </c>
      <c r="F148" s="7" t="s">
        <v>446</v>
      </c>
    </row>
    <row r="150" spans="2:3" ht="14.25">
      <c r="B150" s="28"/>
      <c r="C150" s="29" t="s">
        <v>1193</v>
      </c>
    </row>
    <row r="151" spans="2:6" ht="15">
      <c r="B151" s="4" t="s">
        <v>1134</v>
      </c>
      <c r="C151" s="4" t="s">
        <v>1135</v>
      </c>
      <c r="D151" s="4" t="s">
        <v>1711</v>
      </c>
      <c r="E151" s="4" t="s">
        <v>1145</v>
      </c>
      <c r="F151" s="4" t="s">
        <v>193</v>
      </c>
    </row>
    <row r="152" spans="2:6" ht="12.75">
      <c r="B152" s="7" t="s">
        <v>244</v>
      </c>
      <c r="C152" s="6" t="s">
        <v>1193</v>
      </c>
      <c r="D152" s="7" t="s">
        <v>197</v>
      </c>
      <c r="E152" s="7" t="s">
        <v>157</v>
      </c>
      <c r="F152" s="7" t="s">
        <v>447</v>
      </c>
    </row>
    <row r="153" spans="2:6" ht="12.75">
      <c r="B153" s="7" t="s">
        <v>255</v>
      </c>
      <c r="C153" s="6" t="s">
        <v>1193</v>
      </c>
      <c r="D153" s="7" t="s">
        <v>448</v>
      </c>
      <c r="E153" s="7" t="s">
        <v>162</v>
      </c>
      <c r="F153" s="7" t="s">
        <v>449</v>
      </c>
    </row>
    <row r="154" spans="2:6" ht="12.75">
      <c r="B154" s="7" t="s">
        <v>269</v>
      </c>
      <c r="C154" s="6" t="s">
        <v>1193</v>
      </c>
      <c r="D154" s="7" t="s">
        <v>53</v>
      </c>
      <c r="E154" s="7" t="s">
        <v>442</v>
      </c>
      <c r="F154" s="7" t="s">
        <v>1129</v>
      </c>
    </row>
    <row r="156" spans="2:3" ht="14.25">
      <c r="B156" s="28"/>
      <c r="C156" s="29" t="s">
        <v>1397</v>
      </c>
    </row>
    <row r="157" spans="2:6" ht="15">
      <c r="B157" s="4" t="s">
        <v>1134</v>
      </c>
      <c r="C157" s="4" t="s">
        <v>1135</v>
      </c>
      <c r="D157" s="4" t="s">
        <v>1711</v>
      </c>
      <c r="E157" s="4" t="s">
        <v>1145</v>
      </c>
      <c r="F157" s="4" t="s">
        <v>193</v>
      </c>
    </row>
    <row r="158" spans="2:6" ht="12.75">
      <c r="B158" s="7" t="s">
        <v>264</v>
      </c>
      <c r="C158" s="6" t="s">
        <v>1399</v>
      </c>
      <c r="D158" s="7" t="s">
        <v>448</v>
      </c>
      <c r="E158" s="7" t="s">
        <v>155</v>
      </c>
      <c r="F158" s="7" t="s">
        <v>450</v>
      </c>
    </row>
    <row r="159" spans="2:6" ht="12.75">
      <c r="B159" s="7" t="s">
        <v>289</v>
      </c>
      <c r="C159" s="6" t="s">
        <v>1399</v>
      </c>
      <c r="D159" s="7" t="s">
        <v>54</v>
      </c>
      <c r="E159" s="7" t="s">
        <v>451</v>
      </c>
      <c r="F159" s="7" t="s">
        <v>452</v>
      </c>
    </row>
    <row r="160" spans="2:6" ht="12.75">
      <c r="B160" s="7" t="s">
        <v>252</v>
      </c>
      <c r="C160" s="6" t="s">
        <v>1399</v>
      </c>
      <c r="D160" s="7" t="s">
        <v>197</v>
      </c>
      <c r="E160" s="7" t="s">
        <v>128</v>
      </c>
      <c r="F160" s="7" t="s">
        <v>453</v>
      </c>
    </row>
    <row r="162" spans="2:3" ht="15">
      <c r="B162" s="27" t="s">
        <v>1690</v>
      </c>
      <c r="C162" s="27" t="s">
        <v>1517</v>
      </c>
    </row>
    <row r="163" spans="2:3" ht="14.25">
      <c r="B163" s="28"/>
      <c r="C163" s="29" t="s">
        <v>1368</v>
      </c>
    </row>
    <row r="164" spans="2:6" ht="15">
      <c r="B164" s="4" t="s">
        <v>1134</v>
      </c>
      <c r="C164" s="4" t="s">
        <v>1135</v>
      </c>
      <c r="D164" s="4" t="s">
        <v>1711</v>
      </c>
      <c r="E164" s="4" t="s">
        <v>1145</v>
      </c>
      <c r="F164" s="4" t="s">
        <v>193</v>
      </c>
    </row>
    <row r="165" spans="2:6" ht="12.75">
      <c r="B165" s="7" t="s">
        <v>304</v>
      </c>
      <c r="C165" s="6" t="s">
        <v>1468</v>
      </c>
      <c r="D165" s="7" t="s">
        <v>54</v>
      </c>
      <c r="E165" s="7" t="s">
        <v>454</v>
      </c>
      <c r="F165" s="7" t="s">
        <v>455</v>
      </c>
    </row>
    <row r="166" spans="2:6" ht="12.75">
      <c r="B166" s="7" t="s">
        <v>372</v>
      </c>
      <c r="C166" s="6" t="s">
        <v>1468</v>
      </c>
      <c r="D166" s="7" t="s">
        <v>21</v>
      </c>
      <c r="E166" s="7" t="s">
        <v>456</v>
      </c>
      <c r="F166" s="7" t="s">
        <v>457</v>
      </c>
    </row>
    <row r="167" spans="2:6" ht="12.75">
      <c r="B167" s="7" t="s">
        <v>416</v>
      </c>
      <c r="C167" s="6" t="s">
        <v>1469</v>
      </c>
      <c r="D167" s="7" t="s">
        <v>44</v>
      </c>
      <c r="E167" s="7" t="s">
        <v>209</v>
      </c>
      <c r="F167" s="7" t="s">
        <v>458</v>
      </c>
    </row>
    <row r="169" spans="2:3" ht="14.25">
      <c r="B169" s="28"/>
      <c r="C169" s="29" t="s">
        <v>1378</v>
      </c>
    </row>
    <row r="170" spans="2:6" ht="15">
      <c r="B170" s="4" t="s">
        <v>1134</v>
      </c>
      <c r="C170" s="4" t="s">
        <v>1135</v>
      </c>
      <c r="D170" s="4" t="s">
        <v>1711</v>
      </c>
      <c r="E170" s="4" t="s">
        <v>1145</v>
      </c>
      <c r="F170" s="4" t="s">
        <v>193</v>
      </c>
    </row>
    <row r="171" spans="2:6" ht="12.75">
      <c r="B171" s="7" t="s">
        <v>310</v>
      </c>
      <c r="C171" s="6" t="s">
        <v>1378</v>
      </c>
      <c r="D171" s="7" t="s">
        <v>58</v>
      </c>
      <c r="E171" s="7" t="s">
        <v>459</v>
      </c>
      <c r="F171" s="7" t="s">
        <v>460</v>
      </c>
    </row>
    <row r="172" spans="2:6" ht="12.75">
      <c r="B172" s="7" t="s">
        <v>81</v>
      </c>
      <c r="C172" s="6" t="s">
        <v>1378</v>
      </c>
      <c r="D172" s="7" t="s">
        <v>54</v>
      </c>
      <c r="E172" s="7" t="s">
        <v>215</v>
      </c>
      <c r="F172" s="7" t="s">
        <v>461</v>
      </c>
    </row>
    <row r="173" spans="2:6" ht="12.75">
      <c r="B173" s="7" t="s">
        <v>867</v>
      </c>
      <c r="C173" s="6" t="s">
        <v>1378</v>
      </c>
      <c r="D173" s="7" t="s">
        <v>58</v>
      </c>
      <c r="E173" s="7" t="s">
        <v>462</v>
      </c>
      <c r="F173" s="7" t="s">
        <v>463</v>
      </c>
    </row>
    <row r="175" spans="2:3" ht="14.25">
      <c r="B175" s="28"/>
      <c r="C175" s="29" t="s">
        <v>1193</v>
      </c>
    </row>
    <row r="176" spans="2:6" ht="15">
      <c r="B176" s="4" t="s">
        <v>1134</v>
      </c>
      <c r="C176" s="4" t="s">
        <v>1135</v>
      </c>
      <c r="D176" s="4" t="s">
        <v>1711</v>
      </c>
      <c r="E176" s="4" t="s">
        <v>1145</v>
      </c>
      <c r="F176" s="4" t="s">
        <v>193</v>
      </c>
    </row>
    <row r="177" spans="2:6" ht="12.75">
      <c r="B177" s="7" t="s">
        <v>435</v>
      </c>
      <c r="C177" s="6" t="s">
        <v>1193</v>
      </c>
      <c r="D177" s="7" t="s">
        <v>13</v>
      </c>
      <c r="E177" s="7" t="s">
        <v>464</v>
      </c>
      <c r="F177" s="7" t="s">
        <v>465</v>
      </c>
    </row>
    <row r="178" spans="2:6" ht="12.75">
      <c r="B178" s="7" t="s">
        <v>399</v>
      </c>
      <c r="C178" s="6" t="s">
        <v>1193</v>
      </c>
      <c r="D178" s="7" t="s">
        <v>12</v>
      </c>
      <c r="E178" s="7" t="s">
        <v>466</v>
      </c>
      <c r="F178" s="7" t="s">
        <v>467</v>
      </c>
    </row>
    <row r="179" spans="2:6" ht="12.75">
      <c r="B179" s="7" t="s">
        <v>376</v>
      </c>
      <c r="C179" s="6" t="s">
        <v>1193</v>
      </c>
      <c r="D179" s="7" t="s">
        <v>21</v>
      </c>
      <c r="E179" s="7" t="s">
        <v>468</v>
      </c>
      <c r="F179" s="7" t="s">
        <v>469</v>
      </c>
    </row>
    <row r="181" spans="2:3" ht="14.25">
      <c r="B181" s="28"/>
      <c r="C181" s="29" t="s">
        <v>1397</v>
      </c>
    </row>
    <row r="182" spans="2:6" ht="15">
      <c r="B182" s="4" t="s">
        <v>1134</v>
      </c>
      <c r="C182" s="4" t="s">
        <v>1135</v>
      </c>
      <c r="D182" s="4" t="s">
        <v>1711</v>
      </c>
      <c r="E182" s="4" t="s">
        <v>1145</v>
      </c>
      <c r="F182" s="4" t="s">
        <v>193</v>
      </c>
    </row>
    <row r="183" spans="2:6" ht="12.75">
      <c r="B183" s="7" t="s">
        <v>328</v>
      </c>
      <c r="C183" s="6" t="s">
        <v>1423</v>
      </c>
      <c r="D183" s="7" t="s">
        <v>58</v>
      </c>
      <c r="E183" s="7" t="s">
        <v>470</v>
      </c>
      <c r="F183" s="7" t="s">
        <v>471</v>
      </c>
    </row>
    <row r="184" spans="2:6" ht="12.75">
      <c r="B184" s="7" t="s">
        <v>391</v>
      </c>
      <c r="C184" s="6" t="s">
        <v>1398</v>
      </c>
      <c r="D184" s="7" t="s">
        <v>21</v>
      </c>
      <c r="E184" s="7" t="s">
        <v>454</v>
      </c>
      <c r="F184" s="7" t="s">
        <v>472</v>
      </c>
    </row>
    <row r="185" spans="2:6" ht="12.75">
      <c r="B185" s="7" t="s">
        <v>349</v>
      </c>
      <c r="C185" s="6" t="s">
        <v>1399</v>
      </c>
      <c r="D185" s="7" t="s">
        <v>46</v>
      </c>
      <c r="E185" s="7" t="s">
        <v>473</v>
      </c>
      <c r="F185" s="7" t="s">
        <v>474</v>
      </c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</sheetData>
  <sheetProtection/>
  <mergeCells count="31">
    <mergeCell ref="A137:U137"/>
    <mergeCell ref="B3:B4"/>
    <mergeCell ref="A58:U58"/>
    <mergeCell ref="A72:U72"/>
    <mergeCell ref="A86:U86"/>
    <mergeCell ref="A20:U20"/>
    <mergeCell ref="A113:U113"/>
    <mergeCell ref="H3:K3"/>
    <mergeCell ref="A134:U134"/>
    <mergeCell ref="A124:U124"/>
    <mergeCell ref="P3:S3"/>
    <mergeCell ref="L3:O3"/>
    <mergeCell ref="A43:U43"/>
    <mergeCell ref="F3:F4"/>
    <mergeCell ref="A40:U40"/>
    <mergeCell ref="A33:U33"/>
    <mergeCell ref="U3:U4"/>
    <mergeCell ref="A99:U99"/>
    <mergeCell ref="A5:U5"/>
    <mergeCell ref="A9:U9"/>
    <mergeCell ref="A13:U13"/>
    <mergeCell ref="T3:T4"/>
    <mergeCell ref="G3:G4"/>
    <mergeCell ref="V3:V4"/>
    <mergeCell ref="A26:U26"/>
    <mergeCell ref="A50:U50"/>
    <mergeCell ref="A1:V2"/>
    <mergeCell ref="A3:A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8"/>
  <sheetViews>
    <sheetView zoomScalePageLayoutView="0" workbookViewId="0" topLeftCell="A142">
      <selection activeCell="D151" sqref="D151"/>
    </sheetView>
  </sheetViews>
  <sheetFormatPr defaultColWidth="11.00390625" defaultRowHeight="12.75"/>
  <cols>
    <col min="1" max="1" width="7.375" style="7" bestFit="1" customWidth="1"/>
    <col min="2" max="2" width="27.625" style="7" customWidth="1"/>
    <col min="3" max="3" width="28.25390625" style="6" bestFit="1" customWidth="1"/>
    <col min="4" max="4" width="18.125" style="6" customWidth="1"/>
    <col min="5" max="5" width="10.625" style="6" bestFit="1" customWidth="1"/>
    <col min="6" max="6" width="24.125" style="6" bestFit="1" customWidth="1"/>
    <col min="7" max="7" width="41.875" style="6" bestFit="1" customWidth="1"/>
    <col min="8" max="10" width="5.625" style="7" bestFit="1" customWidth="1"/>
    <col min="11" max="11" width="5.125" style="7" customWidth="1"/>
    <col min="12" max="14" width="5.625" style="7" bestFit="1" customWidth="1"/>
    <col min="15" max="15" width="4.875" style="7" bestFit="1" customWidth="1"/>
    <col min="16" max="19" width="5.625" style="7" bestFit="1" customWidth="1"/>
    <col min="20" max="20" width="7.875" style="7" bestFit="1" customWidth="1"/>
    <col min="21" max="21" width="8.625" style="7" bestFit="1" customWidth="1"/>
    <col min="22" max="22" width="30.00390625" style="6" bestFit="1" customWidth="1"/>
    <col min="23" max="16384" width="9.125" style="1" customWidth="1"/>
  </cols>
  <sheetData>
    <row r="1" spans="1:22" ht="28.5" customHeight="1">
      <c r="A1" s="114" t="s">
        <v>1633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</row>
    <row r="2" spans="1:22" ht="61.5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2" s="2" customFormat="1" ht="12.75" customHeight="1">
      <c r="A3" s="121" t="s">
        <v>1132</v>
      </c>
      <c r="B3" s="126" t="s">
        <v>1133</v>
      </c>
      <c r="C3" s="123" t="s">
        <v>1136</v>
      </c>
      <c r="D3" s="123" t="s">
        <v>1137</v>
      </c>
      <c r="E3" s="112" t="s">
        <v>0</v>
      </c>
      <c r="F3" s="112" t="s">
        <v>1139</v>
      </c>
      <c r="G3" s="112" t="s">
        <v>1140</v>
      </c>
      <c r="H3" s="112" t="s">
        <v>1141</v>
      </c>
      <c r="I3" s="112"/>
      <c r="J3" s="112"/>
      <c r="K3" s="112"/>
      <c r="L3" s="112" t="s">
        <v>1142</v>
      </c>
      <c r="M3" s="112"/>
      <c r="N3" s="112"/>
      <c r="O3" s="112"/>
      <c r="P3" s="112" t="s">
        <v>1143</v>
      </c>
      <c r="Q3" s="112"/>
      <c r="R3" s="112"/>
      <c r="S3" s="112"/>
      <c r="T3" s="112" t="s">
        <v>1144</v>
      </c>
      <c r="U3" s="112" t="s">
        <v>1146</v>
      </c>
      <c r="V3" s="110" t="s">
        <v>1147</v>
      </c>
    </row>
    <row r="4" spans="1:22" s="2" customFormat="1" ht="21" customHeight="1" thickBot="1">
      <c r="A4" s="122"/>
      <c r="B4" s="127"/>
      <c r="C4" s="113"/>
      <c r="D4" s="113"/>
      <c r="E4" s="113"/>
      <c r="F4" s="113"/>
      <c r="G4" s="113"/>
      <c r="H4" s="3">
        <v>1</v>
      </c>
      <c r="I4" s="3">
        <v>2</v>
      </c>
      <c r="J4" s="3">
        <v>3</v>
      </c>
      <c r="K4" s="3" t="s">
        <v>1518</v>
      </c>
      <c r="L4" s="3">
        <v>1</v>
      </c>
      <c r="M4" s="3">
        <v>2</v>
      </c>
      <c r="N4" s="3">
        <v>3</v>
      </c>
      <c r="O4" s="3" t="s">
        <v>1518</v>
      </c>
      <c r="P4" s="3">
        <v>1</v>
      </c>
      <c r="Q4" s="3">
        <v>2</v>
      </c>
      <c r="R4" s="3">
        <v>3</v>
      </c>
      <c r="S4" s="3" t="s">
        <v>1518</v>
      </c>
      <c r="T4" s="113"/>
      <c r="U4" s="113"/>
      <c r="V4" s="111"/>
    </row>
    <row r="5" spans="1:21" ht="15">
      <c r="A5" s="125" t="s">
        <v>1149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2" ht="12.75">
      <c r="A6" s="8" t="s">
        <v>217</v>
      </c>
      <c r="B6" s="8" t="s">
        <v>1</v>
      </c>
      <c r="C6" s="9" t="s">
        <v>1379</v>
      </c>
      <c r="D6" s="9" t="s">
        <v>2</v>
      </c>
      <c r="E6" s="9" t="str">
        <f>"1,3103"</f>
        <v>1,3103</v>
      </c>
      <c r="F6" s="9" t="s">
        <v>861</v>
      </c>
      <c r="G6" s="9" t="s">
        <v>1531</v>
      </c>
      <c r="H6" s="10" t="s">
        <v>3</v>
      </c>
      <c r="I6" s="11" t="s">
        <v>4</v>
      </c>
      <c r="J6" s="11" t="s">
        <v>4</v>
      </c>
      <c r="K6" s="8"/>
      <c r="L6" s="11" t="s">
        <v>5</v>
      </c>
      <c r="M6" s="10" t="s">
        <v>5</v>
      </c>
      <c r="N6" s="11" t="s">
        <v>6</v>
      </c>
      <c r="O6" s="8"/>
      <c r="P6" s="10" t="s">
        <v>4</v>
      </c>
      <c r="Q6" s="10" t="s">
        <v>7</v>
      </c>
      <c r="R6" s="11" t="s">
        <v>8</v>
      </c>
      <c r="S6" s="8"/>
      <c r="T6" s="8" t="str">
        <f>"190,0"</f>
        <v>190,0</v>
      </c>
      <c r="U6" s="8" t="str">
        <f>"248,9570"</f>
        <v>248,9570</v>
      </c>
      <c r="V6" s="9" t="s">
        <v>9</v>
      </c>
    </row>
    <row r="7" ht="12.75">
      <c r="B7" s="7" t="s">
        <v>218</v>
      </c>
    </row>
    <row r="8" spans="1:21" ht="15">
      <c r="A8" s="124" t="s">
        <v>1150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spans="1:22" ht="12.75">
      <c r="A9" s="8" t="s">
        <v>219</v>
      </c>
      <c r="B9" s="8" t="s">
        <v>10</v>
      </c>
      <c r="C9" s="9" t="s">
        <v>1380</v>
      </c>
      <c r="D9" s="9" t="s">
        <v>11</v>
      </c>
      <c r="E9" s="9" t="str">
        <f>"0,9103"</f>
        <v>0,9103</v>
      </c>
      <c r="F9" s="9" t="s">
        <v>1522</v>
      </c>
      <c r="G9" s="9" t="s">
        <v>1634</v>
      </c>
      <c r="H9" s="11" t="s">
        <v>12</v>
      </c>
      <c r="I9" s="11" t="s">
        <v>12</v>
      </c>
      <c r="J9" s="11" t="s">
        <v>12</v>
      </c>
      <c r="K9" s="8"/>
      <c r="L9" s="8"/>
      <c r="M9" s="8"/>
      <c r="N9" s="8"/>
      <c r="O9" s="8"/>
      <c r="P9" s="8"/>
      <c r="Q9" s="8"/>
      <c r="R9" s="8"/>
      <c r="S9" s="8"/>
      <c r="T9" s="8" t="str">
        <f>"0,0"</f>
        <v>0,0</v>
      </c>
      <c r="U9" s="8" t="str">
        <f>"0,0000"</f>
        <v>0,0000</v>
      </c>
      <c r="V9" s="9" t="s">
        <v>14</v>
      </c>
    </row>
    <row r="10" ht="12.75">
      <c r="B10" s="7" t="s">
        <v>218</v>
      </c>
    </row>
    <row r="11" spans="1:21" ht="15">
      <c r="A11" s="124" t="s">
        <v>1151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</row>
    <row r="12" spans="1:22" ht="12.75">
      <c r="A12" s="8" t="s">
        <v>217</v>
      </c>
      <c r="B12" s="8" t="s">
        <v>15</v>
      </c>
      <c r="C12" s="9" t="s">
        <v>1199</v>
      </c>
      <c r="D12" s="9" t="s">
        <v>16</v>
      </c>
      <c r="E12" s="9" t="str">
        <f>"1,1149"</f>
        <v>1,1149</v>
      </c>
      <c r="F12" s="9" t="s">
        <v>888</v>
      </c>
      <c r="G12" s="9" t="s">
        <v>1607</v>
      </c>
      <c r="H12" s="11" t="s">
        <v>17</v>
      </c>
      <c r="I12" s="10" t="s">
        <v>17</v>
      </c>
      <c r="J12" s="11" t="s">
        <v>18</v>
      </c>
      <c r="K12" s="8"/>
      <c r="L12" s="10" t="s">
        <v>19</v>
      </c>
      <c r="M12" s="10" t="s">
        <v>20</v>
      </c>
      <c r="N12" s="11" t="s">
        <v>21</v>
      </c>
      <c r="O12" s="8"/>
      <c r="P12" s="10" t="s">
        <v>22</v>
      </c>
      <c r="Q12" s="10" t="s">
        <v>23</v>
      </c>
      <c r="R12" s="10" t="s">
        <v>24</v>
      </c>
      <c r="S12" s="8"/>
      <c r="T12" s="8" t="str">
        <f>"427,5"</f>
        <v>427,5</v>
      </c>
      <c r="U12" s="8" t="str">
        <f>"476,6197"</f>
        <v>476,6197</v>
      </c>
      <c r="V12" s="9" t="s">
        <v>25</v>
      </c>
    </row>
    <row r="13" ht="12.75">
      <c r="B13" s="7" t="s">
        <v>218</v>
      </c>
    </row>
    <row r="14" spans="1:21" ht="15">
      <c r="A14" s="124" t="s">
        <v>1152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</row>
    <row r="15" spans="1:22" ht="12.75">
      <c r="A15" s="13" t="s">
        <v>217</v>
      </c>
      <c r="B15" s="13" t="s">
        <v>26</v>
      </c>
      <c r="C15" s="14" t="s">
        <v>1381</v>
      </c>
      <c r="D15" s="14" t="s">
        <v>27</v>
      </c>
      <c r="E15" s="14" t="str">
        <f>"1,0779"</f>
        <v>1,0779</v>
      </c>
      <c r="F15" s="14" t="s">
        <v>1540</v>
      </c>
      <c r="G15" s="14" t="s">
        <v>1539</v>
      </c>
      <c r="H15" s="16" t="s">
        <v>28</v>
      </c>
      <c r="I15" s="15" t="s">
        <v>29</v>
      </c>
      <c r="J15" s="15" t="s">
        <v>30</v>
      </c>
      <c r="K15" s="13"/>
      <c r="L15" s="16" t="s">
        <v>31</v>
      </c>
      <c r="M15" s="16" t="s">
        <v>32</v>
      </c>
      <c r="N15" s="15" t="s">
        <v>33</v>
      </c>
      <c r="O15" s="13"/>
      <c r="P15" s="16" t="s">
        <v>34</v>
      </c>
      <c r="Q15" s="16" t="s">
        <v>28</v>
      </c>
      <c r="R15" s="16" t="s">
        <v>35</v>
      </c>
      <c r="S15" s="13"/>
      <c r="T15" s="13" t="str">
        <f>"320,0"</f>
        <v>320,0</v>
      </c>
      <c r="U15" s="13" t="str">
        <f>"344,9280"</f>
        <v>344,9280</v>
      </c>
      <c r="V15" s="14" t="s">
        <v>36</v>
      </c>
    </row>
    <row r="16" spans="1:22" ht="12.75">
      <c r="A16" s="19" t="s">
        <v>217</v>
      </c>
      <c r="B16" s="19" t="s">
        <v>37</v>
      </c>
      <c r="C16" s="20" t="s">
        <v>1270</v>
      </c>
      <c r="D16" s="20" t="s">
        <v>38</v>
      </c>
      <c r="E16" s="20" t="str">
        <f>"1,0455"</f>
        <v>1,0455</v>
      </c>
      <c r="F16" s="20" t="s">
        <v>888</v>
      </c>
      <c r="G16" s="20" t="s">
        <v>1567</v>
      </c>
      <c r="H16" s="21" t="s">
        <v>35</v>
      </c>
      <c r="I16" s="22" t="s">
        <v>30</v>
      </c>
      <c r="J16" s="22" t="s">
        <v>30</v>
      </c>
      <c r="K16" s="19"/>
      <c r="L16" s="21" t="s">
        <v>21</v>
      </c>
      <c r="M16" s="21" t="s">
        <v>39</v>
      </c>
      <c r="N16" s="21" t="s">
        <v>40</v>
      </c>
      <c r="O16" s="19"/>
      <c r="P16" s="21" t="s">
        <v>35</v>
      </c>
      <c r="Q16" s="21" t="s">
        <v>30</v>
      </c>
      <c r="R16" s="21" t="s">
        <v>22</v>
      </c>
      <c r="S16" s="19"/>
      <c r="T16" s="19" t="str">
        <f>"402,5"</f>
        <v>402,5</v>
      </c>
      <c r="U16" s="19" t="str">
        <f>"420,8138"</f>
        <v>420,8138</v>
      </c>
      <c r="V16" s="20" t="s">
        <v>41</v>
      </c>
    </row>
    <row r="17" spans="1:22" ht="12.75">
      <c r="A17" s="19" t="s">
        <v>220</v>
      </c>
      <c r="B17" s="19" t="s">
        <v>42</v>
      </c>
      <c r="C17" s="20" t="s">
        <v>1271</v>
      </c>
      <c r="D17" s="20" t="s">
        <v>43</v>
      </c>
      <c r="E17" s="20" t="str">
        <f>"1,0613"</f>
        <v>1,0613</v>
      </c>
      <c r="F17" s="20" t="s">
        <v>1522</v>
      </c>
      <c r="G17" s="20" t="s">
        <v>1567</v>
      </c>
      <c r="H17" s="21" t="s">
        <v>44</v>
      </c>
      <c r="I17" s="21" t="s">
        <v>45</v>
      </c>
      <c r="J17" s="21" t="s">
        <v>29</v>
      </c>
      <c r="K17" s="19"/>
      <c r="L17" s="22" t="s">
        <v>46</v>
      </c>
      <c r="M17" s="21" t="s">
        <v>19</v>
      </c>
      <c r="N17" s="22" t="s">
        <v>47</v>
      </c>
      <c r="O17" s="19"/>
      <c r="P17" s="21" t="s">
        <v>48</v>
      </c>
      <c r="Q17" s="21" t="s">
        <v>22</v>
      </c>
      <c r="R17" s="21" t="s">
        <v>49</v>
      </c>
      <c r="S17" s="19"/>
      <c r="T17" s="19" t="str">
        <f>"395,0"</f>
        <v>395,0</v>
      </c>
      <c r="U17" s="19" t="str">
        <f>"419,2135"</f>
        <v>419,2135</v>
      </c>
      <c r="V17" s="20" t="s">
        <v>50</v>
      </c>
    </row>
    <row r="18" spans="1:22" ht="12.75">
      <c r="A18" s="19" t="s">
        <v>221</v>
      </c>
      <c r="B18" s="19" t="s">
        <v>51</v>
      </c>
      <c r="C18" s="20" t="s">
        <v>1272</v>
      </c>
      <c r="D18" s="20" t="s">
        <v>52</v>
      </c>
      <c r="E18" s="20" t="str">
        <f>"1,0539"</f>
        <v>1,0539</v>
      </c>
      <c r="F18" s="20" t="s">
        <v>1540</v>
      </c>
      <c r="G18" s="20" t="s">
        <v>1685</v>
      </c>
      <c r="H18" s="21" t="s">
        <v>28</v>
      </c>
      <c r="I18" s="22" t="s">
        <v>35</v>
      </c>
      <c r="J18" s="22" t="s">
        <v>35</v>
      </c>
      <c r="K18" s="19"/>
      <c r="L18" s="21" t="s">
        <v>53</v>
      </c>
      <c r="M18" s="21" t="s">
        <v>54</v>
      </c>
      <c r="N18" s="19"/>
      <c r="O18" s="19"/>
      <c r="P18" s="21" t="s">
        <v>17</v>
      </c>
      <c r="Q18" s="21" t="s">
        <v>18</v>
      </c>
      <c r="R18" s="22" t="s">
        <v>55</v>
      </c>
      <c r="S18" s="19"/>
      <c r="T18" s="19" t="str">
        <f>"367,5"</f>
        <v>367,5</v>
      </c>
      <c r="U18" s="19" t="str">
        <f>"387,3083"</f>
        <v>387,3083</v>
      </c>
      <c r="V18" s="20" t="s">
        <v>889</v>
      </c>
    </row>
    <row r="19" spans="1:22" ht="12.75">
      <c r="A19" s="17" t="s">
        <v>222</v>
      </c>
      <c r="B19" s="17" t="s">
        <v>56</v>
      </c>
      <c r="C19" s="18" t="s">
        <v>1273</v>
      </c>
      <c r="D19" s="18" t="s">
        <v>57</v>
      </c>
      <c r="E19" s="18" t="str">
        <f>"1,0515"</f>
        <v>1,0515</v>
      </c>
      <c r="F19" s="18" t="s">
        <v>1522</v>
      </c>
      <c r="G19" s="18" t="s">
        <v>1635</v>
      </c>
      <c r="H19" s="23" t="s">
        <v>12</v>
      </c>
      <c r="I19" s="23" t="s">
        <v>34</v>
      </c>
      <c r="J19" s="23" t="s">
        <v>28</v>
      </c>
      <c r="K19" s="17"/>
      <c r="L19" s="23" t="s">
        <v>3</v>
      </c>
      <c r="M19" s="23" t="s">
        <v>58</v>
      </c>
      <c r="N19" s="24" t="s">
        <v>4</v>
      </c>
      <c r="O19" s="17"/>
      <c r="P19" s="23" t="s">
        <v>29</v>
      </c>
      <c r="Q19" s="23" t="s">
        <v>22</v>
      </c>
      <c r="R19" s="23" t="s">
        <v>49</v>
      </c>
      <c r="S19" s="17"/>
      <c r="T19" s="17" t="str">
        <f>"367,5"</f>
        <v>367,5</v>
      </c>
      <c r="U19" s="17" t="str">
        <f>"386,4262"</f>
        <v>386,4262</v>
      </c>
      <c r="V19" s="18" t="s">
        <v>41</v>
      </c>
    </row>
    <row r="20" ht="12.75">
      <c r="B20" s="7" t="s">
        <v>218</v>
      </c>
    </row>
    <row r="21" spans="1:21" ht="15">
      <c r="A21" s="124" t="s">
        <v>1153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</row>
    <row r="22" spans="1:22" ht="12.75">
      <c r="A22" s="8" t="s">
        <v>217</v>
      </c>
      <c r="B22" s="8" t="s">
        <v>59</v>
      </c>
      <c r="C22" s="9" t="s">
        <v>1274</v>
      </c>
      <c r="D22" s="9" t="s">
        <v>60</v>
      </c>
      <c r="E22" s="9" t="str">
        <f>"0,9621"</f>
        <v>0,9621</v>
      </c>
      <c r="F22" s="9" t="s">
        <v>1522</v>
      </c>
      <c r="G22" s="9" t="s">
        <v>61</v>
      </c>
      <c r="H22" s="11" t="s">
        <v>62</v>
      </c>
      <c r="I22" s="10" t="s">
        <v>62</v>
      </c>
      <c r="J22" s="11" t="s">
        <v>63</v>
      </c>
      <c r="K22" s="8"/>
      <c r="L22" s="10" t="s">
        <v>20</v>
      </c>
      <c r="M22" s="10" t="s">
        <v>21</v>
      </c>
      <c r="N22" s="10" t="s">
        <v>39</v>
      </c>
      <c r="O22" s="8"/>
      <c r="P22" s="10" t="s">
        <v>64</v>
      </c>
      <c r="Q22" s="10" t="s">
        <v>65</v>
      </c>
      <c r="R22" s="11" t="s">
        <v>66</v>
      </c>
      <c r="S22" s="8"/>
      <c r="T22" s="8" t="str">
        <f>"517,5"</f>
        <v>517,5</v>
      </c>
      <c r="U22" s="8" t="str">
        <f>"497,8868"</f>
        <v>497,8868</v>
      </c>
      <c r="V22" s="9" t="s">
        <v>67</v>
      </c>
    </row>
    <row r="23" ht="12.75">
      <c r="B23" s="7" t="s">
        <v>218</v>
      </c>
    </row>
    <row r="24" spans="1:21" ht="15">
      <c r="A24" s="124" t="s">
        <v>1154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</row>
    <row r="25" spans="1:22" ht="12.75">
      <c r="A25" s="13" t="s">
        <v>217</v>
      </c>
      <c r="B25" s="13" t="s">
        <v>68</v>
      </c>
      <c r="C25" s="14" t="s">
        <v>1382</v>
      </c>
      <c r="D25" s="14" t="s">
        <v>69</v>
      </c>
      <c r="E25" s="14" t="str">
        <f>"0,9112"</f>
        <v>0,9112</v>
      </c>
      <c r="F25" s="14" t="s">
        <v>1540</v>
      </c>
      <c r="G25" s="14" t="s">
        <v>1539</v>
      </c>
      <c r="H25" s="16" t="s">
        <v>17</v>
      </c>
      <c r="I25" s="16" t="s">
        <v>55</v>
      </c>
      <c r="J25" s="16" t="s">
        <v>70</v>
      </c>
      <c r="K25" s="13"/>
      <c r="L25" s="16" t="s">
        <v>7</v>
      </c>
      <c r="M25" s="16" t="s">
        <v>47</v>
      </c>
      <c r="N25" s="15" t="s">
        <v>71</v>
      </c>
      <c r="O25" s="13"/>
      <c r="P25" s="16" t="s">
        <v>17</v>
      </c>
      <c r="Q25" s="16" t="s">
        <v>18</v>
      </c>
      <c r="R25" s="15" t="s">
        <v>72</v>
      </c>
      <c r="S25" s="13"/>
      <c r="T25" s="13" t="str">
        <f>"447,5"</f>
        <v>447,5</v>
      </c>
      <c r="U25" s="13" t="str">
        <f>"407,7620"</f>
        <v>407,7620</v>
      </c>
      <c r="V25" s="14" t="s">
        <v>73</v>
      </c>
    </row>
    <row r="26" spans="1:22" ht="12.75">
      <c r="A26" s="17" t="s">
        <v>217</v>
      </c>
      <c r="B26" s="17" t="s">
        <v>74</v>
      </c>
      <c r="C26" s="18" t="s">
        <v>1275</v>
      </c>
      <c r="D26" s="18" t="s">
        <v>75</v>
      </c>
      <c r="E26" s="18" t="str">
        <f>"0,9326"</f>
        <v>0,9326</v>
      </c>
      <c r="F26" s="18" t="s">
        <v>1522</v>
      </c>
      <c r="G26" s="18" t="s">
        <v>1589</v>
      </c>
      <c r="H26" s="23" t="s">
        <v>30</v>
      </c>
      <c r="I26" s="23" t="s">
        <v>17</v>
      </c>
      <c r="J26" s="17"/>
      <c r="K26" s="17"/>
      <c r="L26" s="23" t="s">
        <v>47</v>
      </c>
      <c r="M26" s="23" t="s">
        <v>71</v>
      </c>
      <c r="N26" s="24" t="s">
        <v>21</v>
      </c>
      <c r="O26" s="17"/>
      <c r="P26" s="23" t="s">
        <v>76</v>
      </c>
      <c r="Q26" s="24" t="s">
        <v>64</v>
      </c>
      <c r="R26" s="24" t="s">
        <v>64</v>
      </c>
      <c r="S26" s="17"/>
      <c r="T26" s="17" t="str">
        <f>"437,5"</f>
        <v>437,5</v>
      </c>
      <c r="U26" s="17" t="str">
        <f>"408,0125"</f>
        <v>408,0125</v>
      </c>
      <c r="V26" s="18" t="s">
        <v>77</v>
      </c>
    </row>
    <row r="27" ht="12.75">
      <c r="B27" s="7" t="s">
        <v>218</v>
      </c>
    </row>
    <row r="28" spans="1:21" ht="15">
      <c r="A28" s="124" t="s">
        <v>1152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</row>
    <row r="29" spans="1:22" ht="12.75">
      <c r="A29" s="13" t="s">
        <v>217</v>
      </c>
      <c r="B29" s="13" t="s">
        <v>78</v>
      </c>
      <c r="C29" s="14" t="s">
        <v>1470</v>
      </c>
      <c r="D29" s="14" t="s">
        <v>79</v>
      </c>
      <c r="E29" s="44" t="str">
        <f>"0,7852"</f>
        <v>0,7852</v>
      </c>
      <c r="F29" s="14" t="s">
        <v>1693</v>
      </c>
      <c r="G29" s="47" t="s">
        <v>872</v>
      </c>
      <c r="H29" s="16" t="s">
        <v>17</v>
      </c>
      <c r="I29" s="16" t="s">
        <v>24</v>
      </c>
      <c r="J29" s="16" t="s">
        <v>72</v>
      </c>
      <c r="K29" s="13"/>
      <c r="L29" s="16" t="s">
        <v>46</v>
      </c>
      <c r="M29" s="16" t="s">
        <v>19</v>
      </c>
      <c r="N29" s="16" t="s">
        <v>47</v>
      </c>
      <c r="O29" s="13"/>
      <c r="P29" s="15" t="s">
        <v>70</v>
      </c>
      <c r="Q29" s="15" t="s">
        <v>70</v>
      </c>
      <c r="R29" s="16" t="s">
        <v>70</v>
      </c>
      <c r="S29" s="16" t="s">
        <v>80</v>
      </c>
      <c r="T29" s="13" t="str">
        <f>"460,0"</f>
        <v>460,0</v>
      </c>
      <c r="U29" s="13" t="str">
        <f>"361,1920"</f>
        <v>361,1920</v>
      </c>
      <c r="V29" s="14" t="s">
        <v>41</v>
      </c>
    </row>
    <row r="30" spans="1:22" ht="12.75">
      <c r="A30" s="19" t="s">
        <v>217</v>
      </c>
      <c r="B30" s="19" t="s">
        <v>81</v>
      </c>
      <c r="C30" s="20" t="s">
        <v>1489</v>
      </c>
      <c r="D30" s="20" t="s">
        <v>82</v>
      </c>
      <c r="E30" s="45" t="str">
        <f>"0,7813"</f>
        <v>0,7813</v>
      </c>
      <c r="F30" s="20" t="s">
        <v>1693</v>
      </c>
      <c r="G30" s="48" t="s">
        <v>872</v>
      </c>
      <c r="H30" s="21" t="s">
        <v>128</v>
      </c>
      <c r="I30" s="21" t="s">
        <v>83</v>
      </c>
      <c r="J30" s="22" t="s">
        <v>96</v>
      </c>
      <c r="K30" s="19"/>
      <c r="L30" s="21" t="s">
        <v>34</v>
      </c>
      <c r="M30" s="22" t="s">
        <v>44</v>
      </c>
      <c r="N30" s="21" t="s">
        <v>44</v>
      </c>
      <c r="O30" s="19"/>
      <c r="P30" s="21" t="s">
        <v>307</v>
      </c>
      <c r="Q30" s="21" t="s">
        <v>84</v>
      </c>
      <c r="R30" s="22" t="s">
        <v>128</v>
      </c>
      <c r="S30" s="19"/>
      <c r="T30" s="19" t="str">
        <f>"570,0"</f>
        <v>570,0</v>
      </c>
      <c r="U30" s="19" t="str">
        <f>"445,3410"</f>
        <v>445,3410</v>
      </c>
      <c r="V30" s="20" t="s">
        <v>41</v>
      </c>
    </row>
    <row r="31" spans="1:22" ht="12.75">
      <c r="A31" s="19" t="s">
        <v>217</v>
      </c>
      <c r="B31" s="19" t="s">
        <v>85</v>
      </c>
      <c r="C31" s="20" t="s">
        <v>1276</v>
      </c>
      <c r="D31" s="20" t="s">
        <v>86</v>
      </c>
      <c r="E31" s="45" t="str">
        <f>"0,7794"</f>
        <v>0,7794</v>
      </c>
      <c r="F31" s="20" t="s">
        <v>1540</v>
      </c>
      <c r="G31" s="48" t="s">
        <v>1686</v>
      </c>
      <c r="H31" s="21" t="s">
        <v>64</v>
      </c>
      <c r="I31" s="22" t="s">
        <v>84</v>
      </c>
      <c r="J31" s="19"/>
      <c r="K31" s="19"/>
      <c r="L31" s="21" t="s">
        <v>45</v>
      </c>
      <c r="M31" s="21" t="s">
        <v>29</v>
      </c>
      <c r="N31" s="21" t="s">
        <v>30</v>
      </c>
      <c r="O31" s="19"/>
      <c r="P31" s="21" t="s">
        <v>76</v>
      </c>
      <c r="Q31" s="21" t="s">
        <v>65</v>
      </c>
      <c r="R31" s="21" t="s">
        <v>63</v>
      </c>
      <c r="S31" s="19"/>
      <c r="T31" s="19" t="str">
        <f>"560,0"</f>
        <v>560,0</v>
      </c>
      <c r="U31" s="19" t="str">
        <f>"436,4640"</f>
        <v>436,4640</v>
      </c>
      <c r="V31" s="20" t="s">
        <v>41</v>
      </c>
    </row>
    <row r="32" spans="1:22" ht="12.75">
      <c r="A32" s="17" t="s">
        <v>217</v>
      </c>
      <c r="B32" s="17" t="s">
        <v>87</v>
      </c>
      <c r="C32" s="18" t="s">
        <v>1424</v>
      </c>
      <c r="D32" s="18" t="s">
        <v>88</v>
      </c>
      <c r="E32" s="46" t="str">
        <f>"0,7804"</f>
        <v>0,7804</v>
      </c>
      <c r="F32" s="18" t="s">
        <v>1540</v>
      </c>
      <c r="G32" s="49" t="s">
        <v>1687</v>
      </c>
      <c r="H32" s="23" t="s">
        <v>28</v>
      </c>
      <c r="I32" s="23" t="s">
        <v>35</v>
      </c>
      <c r="J32" s="23" t="s">
        <v>30</v>
      </c>
      <c r="K32" s="17"/>
      <c r="L32" s="23" t="s">
        <v>20</v>
      </c>
      <c r="M32" s="23" t="s">
        <v>21</v>
      </c>
      <c r="N32" s="23" t="s">
        <v>39</v>
      </c>
      <c r="O32" s="17"/>
      <c r="P32" s="23" t="s">
        <v>17</v>
      </c>
      <c r="Q32" s="23" t="s">
        <v>18</v>
      </c>
      <c r="R32" s="23" t="s">
        <v>76</v>
      </c>
      <c r="S32" s="17"/>
      <c r="T32" s="17" t="str">
        <f>"435,0"</f>
        <v>435,0</v>
      </c>
      <c r="U32" s="17" t="str">
        <f>"409,7451"</f>
        <v>409,7451</v>
      </c>
      <c r="V32" s="18" t="s">
        <v>41</v>
      </c>
    </row>
    <row r="33" ht="12.75">
      <c r="B33" s="7" t="s">
        <v>218</v>
      </c>
    </row>
    <row r="34" spans="1:21" ht="15">
      <c r="A34" s="124" t="s">
        <v>1153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2" ht="12.75">
      <c r="A35" s="13" t="s">
        <v>217</v>
      </c>
      <c r="B35" s="13" t="s">
        <v>89</v>
      </c>
      <c r="C35" s="14" t="s">
        <v>1498</v>
      </c>
      <c r="D35" s="14" t="s">
        <v>90</v>
      </c>
      <c r="E35" s="14" t="str">
        <f>"0,7173"</f>
        <v>0,7173</v>
      </c>
      <c r="F35" s="14" t="s">
        <v>1532</v>
      </c>
      <c r="G35" s="14" t="s">
        <v>1698</v>
      </c>
      <c r="H35" s="15" t="s">
        <v>91</v>
      </c>
      <c r="I35" s="16" t="s">
        <v>91</v>
      </c>
      <c r="J35" s="15" t="s">
        <v>84</v>
      </c>
      <c r="K35" s="13"/>
      <c r="L35" s="16" t="s">
        <v>12</v>
      </c>
      <c r="M35" s="16" t="s">
        <v>34</v>
      </c>
      <c r="N35" s="15" t="s">
        <v>44</v>
      </c>
      <c r="O35" s="13"/>
      <c r="P35" s="16" t="s">
        <v>64</v>
      </c>
      <c r="Q35" s="16" t="s">
        <v>65</v>
      </c>
      <c r="R35" s="15" t="s">
        <v>66</v>
      </c>
      <c r="S35" s="13"/>
      <c r="T35" s="13" t="str">
        <f>"525,0"</f>
        <v>525,0</v>
      </c>
      <c r="U35" s="13" t="str">
        <f>"376,5825"</f>
        <v>376,5825</v>
      </c>
      <c r="V35" s="14" t="s">
        <v>92</v>
      </c>
    </row>
    <row r="36" spans="1:22" ht="12.75">
      <c r="A36" s="19" t="s">
        <v>217</v>
      </c>
      <c r="B36" s="19" t="s">
        <v>93</v>
      </c>
      <c r="C36" s="20" t="s">
        <v>1277</v>
      </c>
      <c r="D36" s="20" t="s">
        <v>94</v>
      </c>
      <c r="E36" s="20" t="str">
        <f>"0,7315"</f>
        <v>0,7315</v>
      </c>
      <c r="F36" s="20" t="s">
        <v>1540</v>
      </c>
      <c r="G36" s="20" t="s">
        <v>1539</v>
      </c>
      <c r="H36" s="21" t="s">
        <v>66</v>
      </c>
      <c r="I36" s="21" t="s">
        <v>95</v>
      </c>
      <c r="J36" s="21" t="s">
        <v>96</v>
      </c>
      <c r="K36" s="19"/>
      <c r="L36" s="22" t="s">
        <v>29</v>
      </c>
      <c r="M36" s="22" t="s">
        <v>29</v>
      </c>
      <c r="N36" s="21" t="s">
        <v>29</v>
      </c>
      <c r="O36" s="19"/>
      <c r="P36" s="21" t="s">
        <v>97</v>
      </c>
      <c r="Q36" s="21" t="s">
        <v>98</v>
      </c>
      <c r="R36" s="21" t="s">
        <v>99</v>
      </c>
      <c r="S36" s="19"/>
      <c r="T36" s="19" t="str">
        <f>"662,5"</f>
        <v>662,5</v>
      </c>
      <c r="U36" s="19" t="str">
        <f>"484,6188"</f>
        <v>484,6188</v>
      </c>
      <c r="V36" s="20" t="s">
        <v>100</v>
      </c>
    </row>
    <row r="37" spans="1:22" ht="12.75">
      <c r="A37" s="19" t="s">
        <v>220</v>
      </c>
      <c r="B37" s="19" t="s">
        <v>101</v>
      </c>
      <c r="C37" s="20" t="s">
        <v>1278</v>
      </c>
      <c r="D37" s="20" t="s">
        <v>102</v>
      </c>
      <c r="E37" s="20" t="str">
        <f>"0,7264"</f>
        <v>0,7264</v>
      </c>
      <c r="F37" s="20" t="s">
        <v>1522</v>
      </c>
      <c r="G37" s="20" t="s">
        <v>1636</v>
      </c>
      <c r="H37" s="21" t="s">
        <v>63</v>
      </c>
      <c r="I37" s="22" t="s">
        <v>96</v>
      </c>
      <c r="J37" s="21" t="s">
        <v>96</v>
      </c>
      <c r="K37" s="19"/>
      <c r="L37" s="21" t="s">
        <v>30</v>
      </c>
      <c r="M37" s="21" t="s">
        <v>103</v>
      </c>
      <c r="N37" s="22" t="s">
        <v>49</v>
      </c>
      <c r="O37" s="19"/>
      <c r="P37" s="21" t="s">
        <v>104</v>
      </c>
      <c r="Q37" s="21" t="s">
        <v>105</v>
      </c>
      <c r="R37" s="21" t="s">
        <v>106</v>
      </c>
      <c r="S37" s="19"/>
      <c r="T37" s="19" t="str">
        <f>"662,5"</f>
        <v>662,5</v>
      </c>
      <c r="U37" s="19" t="str">
        <f>"481,2400"</f>
        <v>481,2400</v>
      </c>
      <c r="V37" s="20" t="s">
        <v>107</v>
      </c>
    </row>
    <row r="38" spans="1:22" ht="12.75">
      <c r="A38" s="19" t="s">
        <v>221</v>
      </c>
      <c r="B38" s="19" t="s">
        <v>108</v>
      </c>
      <c r="C38" s="20" t="s">
        <v>1279</v>
      </c>
      <c r="D38" s="20" t="s">
        <v>109</v>
      </c>
      <c r="E38" s="20" t="str">
        <f>"0,7152"</f>
        <v>0,7152</v>
      </c>
      <c r="F38" s="20" t="s">
        <v>1522</v>
      </c>
      <c r="G38" s="20" t="s">
        <v>1621</v>
      </c>
      <c r="H38" s="22" t="s">
        <v>23</v>
      </c>
      <c r="I38" s="21" t="s">
        <v>23</v>
      </c>
      <c r="J38" s="22" t="s">
        <v>76</v>
      </c>
      <c r="K38" s="19"/>
      <c r="L38" s="21" t="s">
        <v>12</v>
      </c>
      <c r="M38" s="21" t="s">
        <v>34</v>
      </c>
      <c r="N38" s="22" t="s">
        <v>28</v>
      </c>
      <c r="O38" s="19"/>
      <c r="P38" s="21" t="s">
        <v>64</v>
      </c>
      <c r="Q38" s="21" t="s">
        <v>66</v>
      </c>
      <c r="R38" s="21" t="s">
        <v>83</v>
      </c>
      <c r="S38" s="19"/>
      <c r="T38" s="19" t="str">
        <f>"515,0"</f>
        <v>515,0</v>
      </c>
      <c r="U38" s="19" t="str">
        <f>"368,3280"</f>
        <v>368,3280</v>
      </c>
      <c r="V38" s="20" t="s">
        <v>110</v>
      </c>
    </row>
    <row r="39" spans="1:22" ht="12.75">
      <c r="A39" s="19" t="s">
        <v>217</v>
      </c>
      <c r="B39" s="19" t="s">
        <v>111</v>
      </c>
      <c r="C39" s="20" t="s">
        <v>1425</v>
      </c>
      <c r="D39" s="20" t="s">
        <v>112</v>
      </c>
      <c r="E39" s="20" t="str">
        <f>"0,7193"</f>
        <v>0,7193</v>
      </c>
      <c r="F39" s="20" t="s">
        <v>1522</v>
      </c>
      <c r="G39" s="20" t="s">
        <v>1637</v>
      </c>
      <c r="H39" s="21" t="s">
        <v>66</v>
      </c>
      <c r="I39" s="22" t="s">
        <v>96</v>
      </c>
      <c r="J39" s="22" t="s">
        <v>96</v>
      </c>
      <c r="K39" s="19"/>
      <c r="L39" s="21" t="s">
        <v>113</v>
      </c>
      <c r="M39" s="21" t="s">
        <v>114</v>
      </c>
      <c r="N39" s="22" t="s">
        <v>35</v>
      </c>
      <c r="O39" s="19"/>
      <c r="P39" s="21" t="s">
        <v>95</v>
      </c>
      <c r="Q39" s="21" t="s">
        <v>96</v>
      </c>
      <c r="R39" s="21" t="s">
        <v>115</v>
      </c>
      <c r="S39" s="19"/>
      <c r="T39" s="19" t="str">
        <f>"590,0"</f>
        <v>590,0</v>
      </c>
      <c r="U39" s="19" t="str">
        <f>"424,3870"</f>
        <v>424,3870</v>
      </c>
      <c r="V39" s="20" t="s">
        <v>41</v>
      </c>
    </row>
    <row r="40" spans="1:22" ht="12.75">
      <c r="A40" s="17" t="s">
        <v>220</v>
      </c>
      <c r="B40" s="17" t="s">
        <v>887</v>
      </c>
      <c r="C40" s="18" t="s">
        <v>1426</v>
      </c>
      <c r="D40" s="18" t="s">
        <v>90</v>
      </c>
      <c r="E40" s="18" t="str">
        <f>"0,7173"</f>
        <v>0,7173</v>
      </c>
      <c r="F40" s="18" t="s">
        <v>1559</v>
      </c>
      <c r="G40" s="18" t="s">
        <v>1560</v>
      </c>
      <c r="H40" s="23" t="s">
        <v>18</v>
      </c>
      <c r="I40" s="23" t="s">
        <v>64</v>
      </c>
      <c r="J40" s="24" t="s">
        <v>84</v>
      </c>
      <c r="K40" s="17"/>
      <c r="L40" s="23" t="s">
        <v>35</v>
      </c>
      <c r="M40" s="24" t="s">
        <v>103</v>
      </c>
      <c r="N40" s="24" t="s">
        <v>17</v>
      </c>
      <c r="O40" s="17"/>
      <c r="P40" s="23" t="s">
        <v>17</v>
      </c>
      <c r="Q40" s="17"/>
      <c r="R40" s="17"/>
      <c r="S40" s="17"/>
      <c r="T40" s="17" t="str">
        <f>"490,0"</f>
        <v>490,0</v>
      </c>
      <c r="U40" s="17" t="str">
        <f>"361,3184"</f>
        <v>361,3184</v>
      </c>
      <c r="V40" s="18" t="s">
        <v>41</v>
      </c>
    </row>
    <row r="41" ht="12.75">
      <c r="B41" s="7" t="s">
        <v>218</v>
      </c>
    </row>
    <row r="42" spans="1:21" ht="15">
      <c r="A42" s="124" t="s">
        <v>1154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</row>
    <row r="43" spans="1:22" ht="12.75">
      <c r="A43" s="13" t="s">
        <v>217</v>
      </c>
      <c r="B43" s="13" t="s">
        <v>117</v>
      </c>
      <c r="C43" s="14" t="s">
        <v>1471</v>
      </c>
      <c r="D43" s="14" t="s">
        <v>118</v>
      </c>
      <c r="E43" s="14" t="str">
        <f>"0,6709"</f>
        <v>0,6709</v>
      </c>
      <c r="F43" s="14" t="s">
        <v>1522</v>
      </c>
      <c r="G43" s="14" t="s">
        <v>1638</v>
      </c>
      <c r="H43" s="15" t="s">
        <v>63</v>
      </c>
      <c r="I43" s="16" t="s">
        <v>63</v>
      </c>
      <c r="J43" s="16" t="s">
        <v>104</v>
      </c>
      <c r="K43" s="13"/>
      <c r="L43" s="16" t="s">
        <v>35</v>
      </c>
      <c r="M43" s="16" t="s">
        <v>48</v>
      </c>
      <c r="N43" s="15" t="s">
        <v>119</v>
      </c>
      <c r="O43" s="13"/>
      <c r="P43" s="16" t="s">
        <v>120</v>
      </c>
      <c r="Q43" s="16" t="s">
        <v>105</v>
      </c>
      <c r="R43" s="15" t="s">
        <v>121</v>
      </c>
      <c r="S43" s="13"/>
      <c r="T43" s="13" t="str">
        <f>"647,5"</f>
        <v>647,5</v>
      </c>
      <c r="U43" s="13" t="str">
        <f>"434,4077"</f>
        <v>434,4077</v>
      </c>
      <c r="V43" s="14" t="s">
        <v>185</v>
      </c>
    </row>
    <row r="44" spans="1:22" ht="12.75">
      <c r="A44" s="19" t="s">
        <v>217</v>
      </c>
      <c r="B44" s="19" t="s">
        <v>122</v>
      </c>
      <c r="C44" s="20" t="s">
        <v>1499</v>
      </c>
      <c r="D44" s="20" t="s">
        <v>123</v>
      </c>
      <c r="E44" s="20" t="str">
        <f>"0,6882"</f>
        <v>0,6882</v>
      </c>
      <c r="F44" s="20" t="s">
        <v>1551</v>
      </c>
      <c r="G44" s="20" t="s">
        <v>1548</v>
      </c>
      <c r="H44" s="21" t="s">
        <v>124</v>
      </c>
      <c r="I44" s="21" t="s">
        <v>105</v>
      </c>
      <c r="J44" s="22" t="s">
        <v>125</v>
      </c>
      <c r="K44" s="19"/>
      <c r="L44" s="21" t="s">
        <v>23</v>
      </c>
      <c r="M44" s="21" t="s">
        <v>55</v>
      </c>
      <c r="N44" s="22" t="s">
        <v>76</v>
      </c>
      <c r="O44" s="19"/>
      <c r="P44" s="21" t="s">
        <v>124</v>
      </c>
      <c r="Q44" s="21" t="s">
        <v>125</v>
      </c>
      <c r="R44" s="21" t="s">
        <v>98</v>
      </c>
      <c r="S44" s="19"/>
      <c r="T44" s="19" t="str">
        <f>"707,5"</f>
        <v>707,5</v>
      </c>
      <c r="U44" s="19" t="str">
        <f>"486,9015"</f>
        <v>486,9015</v>
      </c>
      <c r="V44" s="20" t="s">
        <v>41</v>
      </c>
    </row>
    <row r="45" spans="1:22" ht="12.75">
      <c r="A45" s="19" t="s">
        <v>220</v>
      </c>
      <c r="B45" s="19" t="s">
        <v>126</v>
      </c>
      <c r="C45" s="20" t="s">
        <v>1500</v>
      </c>
      <c r="D45" s="20" t="s">
        <v>127</v>
      </c>
      <c r="E45" s="20" t="str">
        <f>"0,6699"</f>
        <v>0,6699</v>
      </c>
      <c r="F45" s="20" t="s">
        <v>1522</v>
      </c>
      <c r="G45" s="20" t="s">
        <v>1639</v>
      </c>
      <c r="H45" s="21" t="s">
        <v>64</v>
      </c>
      <c r="I45" s="21" t="s">
        <v>91</v>
      </c>
      <c r="J45" s="22" t="s">
        <v>62</v>
      </c>
      <c r="K45" s="19"/>
      <c r="L45" s="21" t="s">
        <v>28</v>
      </c>
      <c r="M45" s="21" t="s">
        <v>29</v>
      </c>
      <c r="N45" s="22" t="s">
        <v>22</v>
      </c>
      <c r="O45" s="19"/>
      <c r="P45" s="21" t="s">
        <v>66</v>
      </c>
      <c r="Q45" s="21" t="s">
        <v>128</v>
      </c>
      <c r="R45" s="21" t="s">
        <v>83</v>
      </c>
      <c r="S45" s="19"/>
      <c r="T45" s="19" t="str">
        <f>"580,0"</f>
        <v>580,0</v>
      </c>
      <c r="U45" s="19" t="str">
        <f>"388,5420"</f>
        <v>388,5420</v>
      </c>
      <c r="V45" s="20" t="s">
        <v>129</v>
      </c>
    </row>
    <row r="46" spans="1:22" ht="12.75">
      <c r="A46" s="19" t="s">
        <v>219</v>
      </c>
      <c r="B46" s="19" t="s">
        <v>130</v>
      </c>
      <c r="C46" s="20" t="s">
        <v>1501</v>
      </c>
      <c r="D46" s="20" t="s">
        <v>131</v>
      </c>
      <c r="E46" s="20" t="str">
        <f>"0,6704"</f>
        <v>0,6704</v>
      </c>
      <c r="F46" s="20" t="s">
        <v>1522</v>
      </c>
      <c r="G46" s="20" t="s">
        <v>1640</v>
      </c>
      <c r="H46" s="22" t="s">
        <v>106</v>
      </c>
      <c r="I46" s="22" t="s">
        <v>106</v>
      </c>
      <c r="J46" s="21" t="s">
        <v>106</v>
      </c>
      <c r="K46" s="19"/>
      <c r="L46" s="21" t="s">
        <v>22</v>
      </c>
      <c r="M46" s="21" t="s">
        <v>49</v>
      </c>
      <c r="N46" s="21" t="s">
        <v>132</v>
      </c>
      <c r="O46" s="19"/>
      <c r="P46" s="22" t="s">
        <v>105</v>
      </c>
      <c r="Q46" s="22" t="s">
        <v>106</v>
      </c>
      <c r="R46" s="22" t="s">
        <v>106</v>
      </c>
      <c r="S46" s="19"/>
      <c r="T46" s="19" t="str">
        <f>"0,0"</f>
        <v>0,0</v>
      </c>
      <c r="U46" s="19" t="str">
        <f>"0,0000"</f>
        <v>0,0000</v>
      </c>
      <c r="V46" s="20" t="s">
        <v>890</v>
      </c>
    </row>
    <row r="47" spans="1:22" ht="12.75">
      <c r="A47" s="19" t="s">
        <v>217</v>
      </c>
      <c r="B47" s="19" t="s">
        <v>133</v>
      </c>
      <c r="C47" s="20" t="s">
        <v>1280</v>
      </c>
      <c r="D47" s="20" t="s">
        <v>134</v>
      </c>
      <c r="E47" s="20" t="str">
        <f>"0,6754"</f>
        <v>0,6754</v>
      </c>
      <c r="F47" s="20" t="s">
        <v>1522</v>
      </c>
      <c r="G47" s="20" t="s">
        <v>1641</v>
      </c>
      <c r="H47" s="21" t="s">
        <v>124</v>
      </c>
      <c r="I47" s="21" t="s">
        <v>125</v>
      </c>
      <c r="J47" s="21" t="s">
        <v>135</v>
      </c>
      <c r="K47" s="19"/>
      <c r="L47" s="21" t="s">
        <v>22</v>
      </c>
      <c r="M47" s="21" t="s">
        <v>49</v>
      </c>
      <c r="N47" s="21" t="s">
        <v>18</v>
      </c>
      <c r="O47" s="19"/>
      <c r="P47" s="21" t="s">
        <v>105</v>
      </c>
      <c r="Q47" s="21" t="s">
        <v>135</v>
      </c>
      <c r="R47" s="21" t="s">
        <v>121</v>
      </c>
      <c r="S47" s="19"/>
      <c r="T47" s="19" t="str">
        <f>"725,0"</f>
        <v>725,0</v>
      </c>
      <c r="U47" s="19" t="str">
        <f>"489,6650"</f>
        <v>489,6650</v>
      </c>
      <c r="V47" s="20" t="s">
        <v>136</v>
      </c>
    </row>
    <row r="48" spans="1:22" ht="12.75">
      <c r="A48" s="19" t="s">
        <v>220</v>
      </c>
      <c r="B48" s="19" t="s">
        <v>137</v>
      </c>
      <c r="C48" s="20" t="s">
        <v>1281</v>
      </c>
      <c r="D48" s="20" t="s">
        <v>138</v>
      </c>
      <c r="E48" s="20" t="str">
        <f>"0,6832"</f>
        <v>0,6832</v>
      </c>
      <c r="F48" s="20" t="s">
        <v>1522</v>
      </c>
      <c r="G48" s="20" t="s">
        <v>1642</v>
      </c>
      <c r="H48" s="22" t="s">
        <v>106</v>
      </c>
      <c r="I48" s="21" t="s">
        <v>106</v>
      </c>
      <c r="J48" s="21" t="s">
        <v>121</v>
      </c>
      <c r="K48" s="19"/>
      <c r="L48" s="21" t="s">
        <v>17</v>
      </c>
      <c r="M48" s="21" t="s">
        <v>18</v>
      </c>
      <c r="N48" s="21" t="s">
        <v>55</v>
      </c>
      <c r="O48" s="19"/>
      <c r="P48" s="21" t="s">
        <v>83</v>
      </c>
      <c r="Q48" s="21" t="s">
        <v>124</v>
      </c>
      <c r="R48" s="21" t="s">
        <v>139</v>
      </c>
      <c r="S48" s="19"/>
      <c r="T48" s="19" t="str">
        <f>"722,5"</f>
        <v>722,5</v>
      </c>
      <c r="U48" s="19" t="str">
        <f>"493,6120"</f>
        <v>493,6120</v>
      </c>
      <c r="V48" s="20" t="s">
        <v>41</v>
      </c>
    </row>
    <row r="49" spans="1:22" ht="12.75">
      <c r="A49" s="19" t="s">
        <v>221</v>
      </c>
      <c r="B49" s="19" t="s">
        <v>140</v>
      </c>
      <c r="C49" s="20" t="s">
        <v>1282</v>
      </c>
      <c r="D49" s="20" t="s">
        <v>141</v>
      </c>
      <c r="E49" s="20" t="str">
        <f>"0,6719"</f>
        <v>0,6719</v>
      </c>
      <c r="F49" s="20" t="s">
        <v>1522</v>
      </c>
      <c r="G49" s="20" t="s">
        <v>1638</v>
      </c>
      <c r="H49" s="21" t="s">
        <v>66</v>
      </c>
      <c r="I49" s="22" t="s">
        <v>83</v>
      </c>
      <c r="J49" s="19"/>
      <c r="K49" s="19"/>
      <c r="L49" s="21" t="s">
        <v>35</v>
      </c>
      <c r="M49" s="21" t="s">
        <v>30</v>
      </c>
      <c r="N49" s="22" t="s">
        <v>22</v>
      </c>
      <c r="O49" s="19"/>
      <c r="P49" s="21" t="s">
        <v>65</v>
      </c>
      <c r="Q49" s="21" t="s">
        <v>63</v>
      </c>
      <c r="R49" s="21" t="s">
        <v>83</v>
      </c>
      <c r="S49" s="19"/>
      <c r="T49" s="19" t="str">
        <f>"590,0"</f>
        <v>590,0</v>
      </c>
      <c r="U49" s="19" t="str">
        <f>"396,4210"</f>
        <v>396,4210</v>
      </c>
      <c r="V49" s="20" t="s">
        <v>185</v>
      </c>
    </row>
    <row r="50" spans="1:22" ht="12.75">
      <c r="A50" s="19" t="s">
        <v>222</v>
      </c>
      <c r="B50" s="19" t="s">
        <v>126</v>
      </c>
      <c r="C50" s="20" t="s">
        <v>1283</v>
      </c>
      <c r="D50" s="20" t="s">
        <v>127</v>
      </c>
      <c r="E50" s="20" t="str">
        <f>"0,6699"</f>
        <v>0,6699</v>
      </c>
      <c r="F50" s="20" t="s">
        <v>1522</v>
      </c>
      <c r="G50" s="20" t="s">
        <v>1639</v>
      </c>
      <c r="H50" s="21" t="s">
        <v>64</v>
      </c>
      <c r="I50" s="21" t="s">
        <v>91</v>
      </c>
      <c r="J50" s="22" t="s">
        <v>62</v>
      </c>
      <c r="K50" s="19"/>
      <c r="L50" s="21" t="s">
        <v>28</v>
      </c>
      <c r="M50" s="21" t="s">
        <v>29</v>
      </c>
      <c r="N50" s="22" t="s">
        <v>22</v>
      </c>
      <c r="O50" s="19"/>
      <c r="P50" s="21" t="s">
        <v>66</v>
      </c>
      <c r="Q50" s="21" t="s">
        <v>128</v>
      </c>
      <c r="R50" s="21" t="s">
        <v>83</v>
      </c>
      <c r="S50" s="19"/>
      <c r="T50" s="19" t="str">
        <f>"580,0"</f>
        <v>580,0</v>
      </c>
      <c r="U50" s="19" t="str">
        <f>"388,5420"</f>
        <v>388,5420</v>
      </c>
      <c r="V50" s="20" t="s">
        <v>129</v>
      </c>
    </row>
    <row r="51" spans="1:22" ht="12.75">
      <c r="A51" s="19" t="s">
        <v>219</v>
      </c>
      <c r="B51" s="19" t="s">
        <v>142</v>
      </c>
      <c r="C51" s="20" t="s">
        <v>1284</v>
      </c>
      <c r="D51" s="20" t="s">
        <v>143</v>
      </c>
      <c r="E51" s="20" t="str">
        <f>"0,6739"</f>
        <v>0,6739</v>
      </c>
      <c r="F51" s="20" t="s">
        <v>1522</v>
      </c>
      <c r="G51" s="20" t="s">
        <v>1591</v>
      </c>
      <c r="H51" s="22" t="s">
        <v>121</v>
      </c>
      <c r="I51" s="22" t="s">
        <v>121</v>
      </c>
      <c r="J51" s="19"/>
      <c r="K51" s="19"/>
      <c r="L51" s="22"/>
      <c r="M51" s="19"/>
      <c r="N51" s="19"/>
      <c r="O51" s="19"/>
      <c r="P51" s="22"/>
      <c r="Q51" s="19"/>
      <c r="R51" s="19"/>
      <c r="S51" s="19"/>
      <c r="T51" s="19" t="str">
        <f>"0,0"</f>
        <v>0,0</v>
      </c>
      <c r="U51" s="19" t="str">
        <f>"0,0000"</f>
        <v>0,0000</v>
      </c>
      <c r="V51" s="20" t="s">
        <v>144</v>
      </c>
    </row>
    <row r="52" spans="1:22" ht="12.75">
      <c r="A52" s="17" t="s">
        <v>219</v>
      </c>
      <c r="B52" s="17" t="s">
        <v>130</v>
      </c>
      <c r="C52" s="18" t="s">
        <v>1285</v>
      </c>
      <c r="D52" s="18" t="s">
        <v>131</v>
      </c>
      <c r="E52" s="18" t="str">
        <f>"0,6704"</f>
        <v>0,6704</v>
      </c>
      <c r="F52" s="18" t="s">
        <v>1522</v>
      </c>
      <c r="G52" s="18" t="s">
        <v>1640</v>
      </c>
      <c r="H52" s="24" t="s">
        <v>106</v>
      </c>
      <c r="I52" s="24" t="s">
        <v>106</v>
      </c>
      <c r="J52" s="23" t="s">
        <v>106</v>
      </c>
      <c r="K52" s="17"/>
      <c r="L52" s="23" t="s">
        <v>22</v>
      </c>
      <c r="M52" s="23" t="s">
        <v>49</v>
      </c>
      <c r="N52" s="23" t="s">
        <v>132</v>
      </c>
      <c r="O52" s="17"/>
      <c r="P52" s="24" t="s">
        <v>105</v>
      </c>
      <c r="Q52" s="24" t="s">
        <v>106</v>
      </c>
      <c r="R52" s="24" t="s">
        <v>106</v>
      </c>
      <c r="S52" s="17"/>
      <c r="T52" s="17" t="str">
        <f>"0,0"</f>
        <v>0,0</v>
      </c>
      <c r="U52" s="17" t="str">
        <f>"0,0000"</f>
        <v>0,0000</v>
      </c>
      <c r="V52" s="18" t="s">
        <v>890</v>
      </c>
    </row>
    <row r="53" ht="12.75">
      <c r="B53" s="7" t="s">
        <v>218</v>
      </c>
    </row>
    <row r="54" spans="1:21" ht="15">
      <c r="A54" s="124" t="s">
        <v>1156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</row>
    <row r="55" spans="1:22" ht="12.75">
      <c r="A55" s="13" t="s">
        <v>217</v>
      </c>
      <c r="B55" s="13" t="s">
        <v>145</v>
      </c>
      <c r="C55" s="14" t="s">
        <v>1472</v>
      </c>
      <c r="D55" s="14" t="s">
        <v>146</v>
      </c>
      <c r="E55" s="14" t="str">
        <f>"0,6428"</f>
        <v>0,6428</v>
      </c>
      <c r="F55" s="14" t="s">
        <v>1540</v>
      </c>
      <c r="G55" s="14" t="s">
        <v>1539</v>
      </c>
      <c r="H55" s="16" t="s">
        <v>124</v>
      </c>
      <c r="I55" s="16" t="s">
        <v>125</v>
      </c>
      <c r="J55" s="15" t="s">
        <v>98</v>
      </c>
      <c r="K55" s="13"/>
      <c r="L55" s="16" t="s">
        <v>34</v>
      </c>
      <c r="M55" s="16" t="s">
        <v>113</v>
      </c>
      <c r="N55" s="15" t="s">
        <v>114</v>
      </c>
      <c r="O55" s="13"/>
      <c r="P55" s="16" t="s">
        <v>124</v>
      </c>
      <c r="Q55" s="16" t="s">
        <v>105</v>
      </c>
      <c r="R55" s="15" t="s">
        <v>106</v>
      </c>
      <c r="S55" s="13"/>
      <c r="T55" s="13" t="str">
        <f>"657,5"</f>
        <v>657,5</v>
      </c>
      <c r="U55" s="13" t="str">
        <f>"422,6410"</f>
        <v>422,6410</v>
      </c>
      <c r="V55" s="14" t="s">
        <v>36</v>
      </c>
    </row>
    <row r="56" spans="1:22" ht="12.75">
      <c r="A56" s="19" t="s">
        <v>220</v>
      </c>
      <c r="B56" s="19" t="s">
        <v>147</v>
      </c>
      <c r="C56" s="20" t="s">
        <v>1473</v>
      </c>
      <c r="D56" s="20" t="s">
        <v>148</v>
      </c>
      <c r="E56" s="20" t="str">
        <f>"0,6499"</f>
        <v>0,6499</v>
      </c>
      <c r="F56" s="20" t="s">
        <v>1522</v>
      </c>
      <c r="G56" s="20" t="s">
        <v>1643</v>
      </c>
      <c r="H56" s="21" t="s">
        <v>66</v>
      </c>
      <c r="I56" s="22" t="s">
        <v>83</v>
      </c>
      <c r="J56" s="21" t="s">
        <v>124</v>
      </c>
      <c r="K56" s="19"/>
      <c r="L56" s="21" t="s">
        <v>17</v>
      </c>
      <c r="M56" s="21" t="s">
        <v>18</v>
      </c>
      <c r="N56" s="21" t="s">
        <v>55</v>
      </c>
      <c r="O56" s="19"/>
      <c r="P56" s="21" t="s">
        <v>66</v>
      </c>
      <c r="Q56" s="22" t="s">
        <v>83</v>
      </c>
      <c r="R56" s="22" t="s">
        <v>83</v>
      </c>
      <c r="S56" s="19"/>
      <c r="T56" s="19" t="str">
        <f>"635,0"</f>
        <v>635,0</v>
      </c>
      <c r="U56" s="19" t="str">
        <f>"412,6865"</f>
        <v>412,6865</v>
      </c>
      <c r="V56" s="20" t="s">
        <v>891</v>
      </c>
    </row>
    <row r="57" spans="1:22" ht="12.75">
      <c r="A57" s="19" t="s">
        <v>221</v>
      </c>
      <c r="B57" s="19" t="s">
        <v>149</v>
      </c>
      <c r="C57" s="20" t="s">
        <v>1474</v>
      </c>
      <c r="D57" s="20" t="s">
        <v>150</v>
      </c>
      <c r="E57" s="20" t="str">
        <f>"0,6540"</f>
        <v>0,6540</v>
      </c>
      <c r="F57" s="20" t="s">
        <v>1691</v>
      </c>
      <c r="G57" s="20" t="s">
        <v>871</v>
      </c>
      <c r="H57" s="21" t="s">
        <v>65</v>
      </c>
      <c r="I57" s="21" t="s">
        <v>63</v>
      </c>
      <c r="J57" s="21" t="s">
        <v>83</v>
      </c>
      <c r="K57" s="19"/>
      <c r="L57" s="21" t="s">
        <v>28</v>
      </c>
      <c r="M57" s="21" t="s">
        <v>35</v>
      </c>
      <c r="N57" s="22" t="s">
        <v>29</v>
      </c>
      <c r="O57" s="19"/>
      <c r="P57" s="21" t="s">
        <v>65</v>
      </c>
      <c r="Q57" s="21" t="s">
        <v>84</v>
      </c>
      <c r="R57" s="21" t="s">
        <v>95</v>
      </c>
      <c r="S57" s="19"/>
      <c r="T57" s="19" t="str">
        <f>"595,0"</f>
        <v>595,0</v>
      </c>
      <c r="U57" s="19" t="str">
        <f>"389,1300"</f>
        <v>389,1300</v>
      </c>
      <c r="V57" s="20" t="s">
        <v>151</v>
      </c>
    </row>
    <row r="58" spans="1:22" ht="12.75">
      <c r="A58" s="19" t="s">
        <v>219</v>
      </c>
      <c r="B58" s="19" t="s">
        <v>117</v>
      </c>
      <c r="C58" s="20" t="s">
        <v>1471</v>
      </c>
      <c r="D58" s="20" t="s">
        <v>152</v>
      </c>
      <c r="E58" s="20" t="str">
        <f>"0,6694"</f>
        <v>0,6694</v>
      </c>
      <c r="F58" s="20" t="s">
        <v>1522</v>
      </c>
      <c r="G58" s="20" t="s">
        <v>1638</v>
      </c>
      <c r="H58" s="22" t="s">
        <v>63</v>
      </c>
      <c r="I58" s="22" t="s">
        <v>63</v>
      </c>
      <c r="J58" s="22" t="s">
        <v>63</v>
      </c>
      <c r="K58" s="19"/>
      <c r="L58" s="22"/>
      <c r="M58" s="19"/>
      <c r="N58" s="19"/>
      <c r="O58" s="19"/>
      <c r="P58" s="22"/>
      <c r="Q58" s="19"/>
      <c r="R58" s="19"/>
      <c r="S58" s="19"/>
      <c r="T58" s="19" t="str">
        <f>"0,0"</f>
        <v>0,0</v>
      </c>
      <c r="U58" s="19" t="str">
        <f>"0,0000"</f>
        <v>0,0000</v>
      </c>
      <c r="V58" s="20" t="s">
        <v>185</v>
      </c>
    </row>
    <row r="59" spans="1:22" ht="12.75">
      <c r="A59" s="19" t="s">
        <v>217</v>
      </c>
      <c r="B59" s="19" t="s">
        <v>153</v>
      </c>
      <c r="C59" s="20" t="s">
        <v>1502</v>
      </c>
      <c r="D59" s="20" t="s">
        <v>154</v>
      </c>
      <c r="E59" s="20" t="str">
        <f>"0,6410"</f>
        <v>0,6410</v>
      </c>
      <c r="F59" s="20" t="s">
        <v>1522</v>
      </c>
      <c r="G59" s="20" t="s">
        <v>1644</v>
      </c>
      <c r="H59" s="21" t="s">
        <v>155</v>
      </c>
      <c r="I59" s="21" t="s">
        <v>156</v>
      </c>
      <c r="J59" s="21" t="s">
        <v>157</v>
      </c>
      <c r="K59" s="19"/>
      <c r="L59" s="21" t="s">
        <v>66</v>
      </c>
      <c r="M59" s="22" t="s">
        <v>158</v>
      </c>
      <c r="N59" s="22" t="s">
        <v>158</v>
      </c>
      <c r="O59" s="19"/>
      <c r="P59" s="22" t="s">
        <v>105</v>
      </c>
      <c r="Q59" s="21" t="s">
        <v>105</v>
      </c>
      <c r="R59" s="22" t="s">
        <v>121</v>
      </c>
      <c r="S59" s="19"/>
      <c r="T59" s="19" t="str">
        <f>"780,0"</f>
        <v>780,0</v>
      </c>
      <c r="U59" s="19" t="str">
        <f>"499,9800"</f>
        <v>499,9800</v>
      </c>
      <c r="V59" s="20" t="s">
        <v>41</v>
      </c>
    </row>
    <row r="60" spans="1:22" ht="12.75">
      <c r="A60" s="19" t="s">
        <v>217</v>
      </c>
      <c r="B60" s="19" t="s">
        <v>159</v>
      </c>
      <c r="C60" s="20" t="s">
        <v>1286</v>
      </c>
      <c r="D60" s="20" t="s">
        <v>160</v>
      </c>
      <c r="E60" s="20" t="str">
        <f>"0,6471"</f>
        <v>0,6471</v>
      </c>
      <c r="F60" s="20" t="s">
        <v>1522</v>
      </c>
      <c r="G60" s="20" t="s">
        <v>1645</v>
      </c>
      <c r="H60" s="22" t="s">
        <v>161</v>
      </c>
      <c r="I60" s="21" t="s">
        <v>161</v>
      </c>
      <c r="J60" s="22" t="s">
        <v>162</v>
      </c>
      <c r="K60" s="19"/>
      <c r="L60" s="21" t="s">
        <v>55</v>
      </c>
      <c r="M60" s="21" t="s">
        <v>72</v>
      </c>
      <c r="N60" s="21" t="s">
        <v>163</v>
      </c>
      <c r="O60" s="19"/>
      <c r="P60" s="21" t="s">
        <v>164</v>
      </c>
      <c r="Q60" s="21" t="s">
        <v>157</v>
      </c>
      <c r="R60" s="22" t="s">
        <v>165</v>
      </c>
      <c r="S60" s="19"/>
      <c r="T60" s="19" t="str">
        <f>"817,5"</f>
        <v>817,5</v>
      </c>
      <c r="U60" s="19" t="str">
        <f>"529,0042"</f>
        <v>529,0042</v>
      </c>
      <c r="V60" s="20" t="s">
        <v>41</v>
      </c>
    </row>
    <row r="61" spans="1:22" ht="12.75">
      <c r="A61" s="19" t="s">
        <v>220</v>
      </c>
      <c r="B61" s="19" t="s">
        <v>166</v>
      </c>
      <c r="C61" s="20" t="s">
        <v>1287</v>
      </c>
      <c r="D61" s="20" t="s">
        <v>148</v>
      </c>
      <c r="E61" s="20" t="str">
        <f>"0,6499"</f>
        <v>0,6499</v>
      </c>
      <c r="F61" s="20" t="s">
        <v>1522</v>
      </c>
      <c r="G61" s="20" t="s">
        <v>1596</v>
      </c>
      <c r="H61" s="22" t="s">
        <v>121</v>
      </c>
      <c r="I61" s="21" t="s">
        <v>121</v>
      </c>
      <c r="J61" s="22" t="s">
        <v>155</v>
      </c>
      <c r="K61" s="19"/>
      <c r="L61" s="21" t="s">
        <v>76</v>
      </c>
      <c r="M61" s="21" t="s">
        <v>70</v>
      </c>
      <c r="N61" s="22" t="s">
        <v>163</v>
      </c>
      <c r="O61" s="19"/>
      <c r="P61" s="21" t="s">
        <v>157</v>
      </c>
      <c r="Q61" s="21" t="s">
        <v>165</v>
      </c>
      <c r="R61" s="22" t="s">
        <v>167</v>
      </c>
      <c r="S61" s="19"/>
      <c r="T61" s="19" t="str">
        <f>"790,0"</f>
        <v>790,0</v>
      </c>
      <c r="U61" s="19" t="str">
        <f>"513,4210"</f>
        <v>513,4210</v>
      </c>
      <c r="V61" s="20" t="s">
        <v>41</v>
      </c>
    </row>
    <row r="62" spans="1:22" ht="12.75">
      <c r="A62" s="19" t="s">
        <v>221</v>
      </c>
      <c r="B62" s="19" t="s">
        <v>153</v>
      </c>
      <c r="C62" s="20" t="s">
        <v>1288</v>
      </c>
      <c r="D62" s="20" t="s">
        <v>154</v>
      </c>
      <c r="E62" s="20" t="str">
        <f>"0,6410"</f>
        <v>0,6410</v>
      </c>
      <c r="F62" s="20" t="s">
        <v>1522</v>
      </c>
      <c r="G62" s="20" t="s">
        <v>1644</v>
      </c>
      <c r="H62" s="21" t="s">
        <v>155</v>
      </c>
      <c r="I62" s="21" t="s">
        <v>156</v>
      </c>
      <c r="J62" s="21" t="s">
        <v>157</v>
      </c>
      <c r="K62" s="19"/>
      <c r="L62" s="21" t="s">
        <v>66</v>
      </c>
      <c r="M62" s="22" t="s">
        <v>158</v>
      </c>
      <c r="N62" s="22" t="s">
        <v>158</v>
      </c>
      <c r="O62" s="19"/>
      <c r="P62" s="22" t="s">
        <v>105</v>
      </c>
      <c r="Q62" s="21" t="s">
        <v>105</v>
      </c>
      <c r="R62" s="22" t="s">
        <v>121</v>
      </c>
      <c r="S62" s="19"/>
      <c r="T62" s="19" t="str">
        <f>"780,0"</f>
        <v>780,0</v>
      </c>
      <c r="U62" s="19" t="str">
        <f>"499,9800"</f>
        <v>499,9800</v>
      </c>
      <c r="V62" s="20" t="s">
        <v>41</v>
      </c>
    </row>
    <row r="63" spans="1:22" ht="12.75">
      <c r="A63" s="19" t="s">
        <v>222</v>
      </c>
      <c r="B63" s="19" t="s">
        <v>168</v>
      </c>
      <c r="C63" s="20" t="s">
        <v>1289</v>
      </c>
      <c r="D63" s="20" t="s">
        <v>169</v>
      </c>
      <c r="E63" s="20" t="str">
        <f>"0,6503"</f>
        <v>0,6503</v>
      </c>
      <c r="F63" s="20" t="s">
        <v>1522</v>
      </c>
      <c r="G63" s="20" t="s">
        <v>1601</v>
      </c>
      <c r="H63" s="21" t="s">
        <v>121</v>
      </c>
      <c r="I63" s="22" t="s">
        <v>164</v>
      </c>
      <c r="J63" s="22" t="s">
        <v>164</v>
      </c>
      <c r="K63" s="19"/>
      <c r="L63" s="21" t="s">
        <v>17</v>
      </c>
      <c r="M63" s="22" t="s">
        <v>18</v>
      </c>
      <c r="N63" s="21" t="s">
        <v>18</v>
      </c>
      <c r="O63" s="19"/>
      <c r="P63" s="21" t="s">
        <v>106</v>
      </c>
      <c r="Q63" s="22" t="s">
        <v>170</v>
      </c>
      <c r="R63" s="19"/>
      <c r="S63" s="19"/>
      <c r="T63" s="19" t="str">
        <f>"720,0"</f>
        <v>720,0</v>
      </c>
      <c r="U63" s="19" t="str">
        <f>"468,2160"</f>
        <v>468,2160</v>
      </c>
      <c r="V63" s="20" t="s">
        <v>41</v>
      </c>
    </row>
    <row r="64" spans="1:22" ht="12.75">
      <c r="A64" s="19" t="s">
        <v>223</v>
      </c>
      <c r="B64" s="19" t="s">
        <v>171</v>
      </c>
      <c r="C64" s="20" t="s">
        <v>1290</v>
      </c>
      <c r="D64" s="20" t="s">
        <v>172</v>
      </c>
      <c r="E64" s="20" t="str">
        <f>"0,6475"</f>
        <v>0,6475</v>
      </c>
      <c r="F64" s="20" t="s">
        <v>1522</v>
      </c>
      <c r="G64" s="20" t="s">
        <v>1641</v>
      </c>
      <c r="H64" s="21" t="s">
        <v>106</v>
      </c>
      <c r="I64" s="21" t="s">
        <v>170</v>
      </c>
      <c r="J64" s="22" t="s">
        <v>155</v>
      </c>
      <c r="K64" s="19"/>
      <c r="L64" s="22" t="s">
        <v>23</v>
      </c>
      <c r="M64" s="22" t="s">
        <v>55</v>
      </c>
      <c r="N64" s="21" t="s">
        <v>55</v>
      </c>
      <c r="O64" s="19"/>
      <c r="P64" s="21" t="s">
        <v>173</v>
      </c>
      <c r="Q64" s="22" t="s">
        <v>135</v>
      </c>
      <c r="R64" s="22" t="s">
        <v>135</v>
      </c>
      <c r="S64" s="19"/>
      <c r="T64" s="19" t="str">
        <f>"720,0"</f>
        <v>720,0</v>
      </c>
      <c r="U64" s="19" t="str">
        <f>"466,2000"</f>
        <v>466,2000</v>
      </c>
      <c r="V64" s="20" t="s">
        <v>41</v>
      </c>
    </row>
    <row r="65" spans="1:22" ht="12.75">
      <c r="A65" s="19" t="s">
        <v>224</v>
      </c>
      <c r="B65" s="19" t="s">
        <v>174</v>
      </c>
      <c r="C65" s="20" t="s">
        <v>1291</v>
      </c>
      <c r="D65" s="20" t="s">
        <v>175</v>
      </c>
      <c r="E65" s="20" t="str">
        <f>"0,6413"</f>
        <v>0,6413</v>
      </c>
      <c r="F65" s="20" t="s">
        <v>1522</v>
      </c>
      <c r="G65" s="20" t="s">
        <v>1646</v>
      </c>
      <c r="H65" s="21" t="s">
        <v>170</v>
      </c>
      <c r="I65" s="22" t="s">
        <v>156</v>
      </c>
      <c r="J65" s="22" t="s">
        <v>156</v>
      </c>
      <c r="K65" s="19"/>
      <c r="L65" s="21" t="s">
        <v>30</v>
      </c>
      <c r="M65" s="21" t="s">
        <v>103</v>
      </c>
      <c r="N65" s="22" t="s">
        <v>17</v>
      </c>
      <c r="O65" s="19"/>
      <c r="P65" s="22" t="s">
        <v>106</v>
      </c>
      <c r="Q65" s="21" t="s">
        <v>106</v>
      </c>
      <c r="R65" s="22" t="s">
        <v>99</v>
      </c>
      <c r="S65" s="19"/>
      <c r="T65" s="19" t="str">
        <f>"717,5"</f>
        <v>717,5</v>
      </c>
      <c r="U65" s="19" t="str">
        <f>"460,1328"</f>
        <v>460,1328</v>
      </c>
      <c r="V65" s="20" t="s">
        <v>176</v>
      </c>
    </row>
    <row r="66" spans="1:22" ht="12.75">
      <c r="A66" s="19" t="s">
        <v>225</v>
      </c>
      <c r="B66" s="19" t="s">
        <v>177</v>
      </c>
      <c r="C66" s="20" t="s">
        <v>1292</v>
      </c>
      <c r="D66" s="20" t="s">
        <v>175</v>
      </c>
      <c r="E66" s="20" t="str">
        <f>"0,6413"</f>
        <v>0,6413</v>
      </c>
      <c r="F66" s="20" t="s">
        <v>1522</v>
      </c>
      <c r="G66" s="20" t="s">
        <v>1647</v>
      </c>
      <c r="H66" s="21" t="s">
        <v>66</v>
      </c>
      <c r="I66" s="21" t="s">
        <v>63</v>
      </c>
      <c r="J66" s="22" t="s">
        <v>83</v>
      </c>
      <c r="K66" s="19"/>
      <c r="L66" s="21" t="s">
        <v>35</v>
      </c>
      <c r="M66" s="22" t="s">
        <v>48</v>
      </c>
      <c r="N66" s="22" t="s">
        <v>48</v>
      </c>
      <c r="O66" s="19"/>
      <c r="P66" s="21" t="s">
        <v>135</v>
      </c>
      <c r="Q66" s="21" t="s">
        <v>170</v>
      </c>
      <c r="R66" s="22" t="s">
        <v>178</v>
      </c>
      <c r="S66" s="19"/>
      <c r="T66" s="19" t="str">
        <f>"650,0"</f>
        <v>650,0</v>
      </c>
      <c r="U66" s="19" t="str">
        <f>"416,8450"</f>
        <v>416,8450</v>
      </c>
      <c r="V66" s="20" t="s">
        <v>41</v>
      </c>
    </row>
    <row r="67" spans="1:22" ht="12.75">
      <c r="A67" s="19" t="s">
        <v>226</v>
      </c>
      <c r="B67" s="19" t="s">
        <v>179</v>
      </c>
      <c r="C67" s="20" t="s">
        <v>1293</v>
      </c>
      <c r="D67" s="20" t="s">
        <v>180</v>
      </c>
      <c r="E67" s="20" t="str">
        <f>"0,6519"</f>
        <v>0,6519</v>
      </c>
      <c r="F67" s="20" t="s">
        <v>1522</v>
      </c>
      <c r="G67" s="20" t="s">
        <v>1567</v>
      </c>
      <c r="H67" s="21" t="s">
        <v>96</v>
      </c>
      <c r="I67" s="22" t="s">
        <v>124</v>
      </c>
      <c r="J67" s="22" t="s">
        <v>124</v>
      </c>
      <c r="K67" s="19"/>
      <c r="L67" s="22" t="s">
        <v>30</v>
      </c>
      <c r="M67" s="21" t="s">
        <v>30</v>
      </c>
      <c r="N67" s="21" t="s">
        <v>22</v>
      </c>
      <c r="O67" s="19"/>
      <c r="P67" s="21" t="s">
        <v>96</v>
      </c>
      <c r="Q67" s="21" t="s">
        <v>120</v>
      </c>
      <c r="R67" s="22" t="s">
        <v>124</v>
      </c>
      <c r="S67" s="19"/>
      <c r="T67" s="19" t="str">
        <f>"635,0"</f>
        <v>635,0</v>
      </c>
      <c r="U67" s="19" t="str">
        <f>"413,9565"</f>
        <v>413,9565</v>
      </c>
      <c r="V67" s="20" t="s">
        <v>41</v>
      </c>
    </row>
    <row r="68" spans="1:22" ht="12.75">
      <c r="A68" s="19" t="s">
        <v>217</v>
      </c>
      <c r="B68" s="19" t="s">
        <v>181</v>
      </c>
      <c r="C68" s="20" t="s">
        <v>1389</v>
      </c>
      <c r="D68" s="20" t="s">
        <v>182</v>
      </c>
      <c r="E68" s="20" t="str">
        <f>"0,6421"</f>
        <v>0,6421</v>
      </c>
      <c r="F68" s="20" t="s">
        <v>1540</v>
      </c>
      <c r="G68" s="20" t="s">
        <v>1539</v>
      </c>
      <c r="H68" s="21" t="s">
        <v>64</v>
      </c>
      <c r="I68" s="22" t="s">
        <v>65</v>
      </c>
      <c r="J68" s="22" t="s">
        <v>66</v>
      </c>
      <c r="K68" s="19"/>
      <c r="L68" s="21" t="s">
        <v>49</v>
      </c>
      <c r="M68" s="19"/>
      <c r="N68" s="19"/>
      <c r="O68" s="19"/>
      <c r="P68" s="21" t="s">
        <v>104</v>
      </c>
      <c r="Q68" s="19"/>
      <c r="R68" s="19"/>
      <c r="S68" s="19"/>
      <c r="T68" s="19" t="str">
        <f>"592,5"</f>
        <v>592,5</v>
      </c>
      <c r="U68" s="19" t="str">
        <f>"430,6629"</f>
        <v>430,6629</v>
      </c>
      <c r="V68" s="20" t="s">
        <v>41</v>
      </c>
    </row>
    <row r="69" spans="1:22" ht="12.75">
      <c r="A69" s="19" t="s">
        <v>219</v>
      </c>
      <c r="B69" s="19" t="s">
        <v>183</v>
      </c>
      <c r="C69" s="20" t="s">
        <v>1427</v>
      </c>
      <c r="D69" s="20" t="s">
        <v>184</v>
      </c>
      <c r="E69" s="20" t="str">
        <f>"0,6606"</f>
        <v>0,6606</v>
      </c>
      <c r="F69" s="20" t="s">
        <v>1522</v>
      </c>
      <c r="G69" s="20" t="s">
        <v>1638</v>
      </c>
      <c r="H69" s="22" t="s">
        <v>65</v>
      </c>
      <c r="I69" s="22" t="s">
        <v>84</v>
      </c>
      <c r="J69" s="22" t="s">
        <v>84</v>
      </c>
      <c r="K69" s="19"/>
      <c r="L69" s="22"/>
      <c r="M69" s="19"/>
      <c r="N69" s="19"/>
      <c r="O69" s="19"/>
      <c r="P69" s="22"/>
      <c r="Q69" s="19"/>
      <c r="R69" s="19"/>
      <c r="S69" s="19"/>
      <c r="T69" s="19" t="str">
        <f>"0,0"</f>
        <v>0,0</v>
      </c>
      <c r="U69" s="19" t="str">
        <f>"0,0000"</f>
        <v>0,0000</v>
      </c>
      <c r="V69" s="20" t="s">
        <v>185</v>
      </c>
    </row>
    <row r="70" spans="1:22" ht="12.75">
      <c r="A70" s="17" t="s">
        <v>217</v>
      </c>
      <c r="B70" s="17" t="s">
        <v>186</v>
      </c>
      <c r="C70" s="18" t="s">
        <v>1428</v>
      </c>
      <c r="D70" s="18" t="s">
        <v>187</v>
      </c>
      <c r="E70" s="18" t="str">
        <f>"0,6507"</f>
        <v>0,6507</v>
      </c>
      <c r="F70" s="18" t="s">
        <v>1551</v>
      </c>
      <c r="G70" s="18" t="s">
        <v>1552</v>
      </c>
      <c r="H70" s="23" t="s">
        <v>95</v>
      </c>
      <c r="I70" s="24" t="s">
        <v>104</v>
      </c>
      <c r="J70" s="24" t="s">
        <v>120</v>
      </c>
      <c r="K70" s="17"/>
      <c r="L70" s="23" t="s">
        <v>30</v>
      </c>
      <c r="M70" s="23" t="s">
        <v>17</v>
      </c>
      <c r="N70" s="23" t="s">
        <v>132</v>
      </c>
      <c r="O70" s="17"/>
      <c r="P70" s="23" t="s">
        <v>105</v>
      </c>
      <c r="Q70" s="23" t="s">
        <v>135</v>
      </c>
      <c r="R70" s="23" t="s">
        <v>121</v>
      </c>
      <c r="S70" s="17"/>
      <c r="T70" s="17" t="str">
        <f>"672,5"</f>
        <v>672,5</v>
      </c>
      <c r="U70" s="17" t="str">
        <f>"511,1118"</f>
        <v>511,1118</v>
      </c>
      <c r="V70" s="18" t="s">
        <v>41</v>
      </c>
    </row>
    <row r="71" ht="12.75">
      <c r="B71" s="7" t="s">
        <v>218</v>
      </c>
    </row>
    <row r="72" spans="1:22" ht="15">
      <c r="A72" s="128" t="s">
        <v>1157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74"/>
    </row>
    <row r="73" spans="1:22" ht="12.75">
      <c r="A73" s="75" t="s">
        <v>217</v>
      </c>
      <c r="B73" s="50" t="s">
        <v>901</v>
      </c>
      <c r="C73" s="76" t="s">
        <v>1475</v>
      </c>
      <c r="D73" s="76" t="s">
        <v>764</v>
      </c>
      <c r="E73" s="76" t="s">
        <v>902</v>
      </c>
      <c r="F73" s="76" t="s">
        <v>1522</v>
      </c>
      <c r="G73" s="76" t="s">
        <v>1524</v>
      </c>
      <c r="H73" s="77" t="s">
        <v>76</v>
      </c>
      <c r="I73" s="77" t="s">
        <v>190</v>
      </c>
      <c r="J73" s="77" t="s">
        <v>91</v>
      </c>
      <c r="K73" s="78"/>
      <c r="L73" s="77" t="s">
        <v>8</v>
      </c>
      <c r="M73" s="77" t="s">
        <v>21</v>
      </c>
      <c r="N73" s="77" t="s">
        <v>12</v>
      </c>
      <c r="O73" s="78"/>
      <c r="P73" s="77" t="s">
        <v>66</v>
      </c>
      <c r="Q73" s="77" t="s">
        <v>95</v>
      </c>
      <c r="R73" s="79" t="s">
        <v>83</v>
      </c>
      <c r="S73" s="78"/>
      <c r="T73" s="78" t="s">
        <v>903</v>
      </c>
      <c r="U73" s="78" t="s">
        <v>904</v>
      </c>
      <c r="V73" s="76" t="s">
        <v>573</v>
      </c>
    </row>
    <row r="74" spans="1:22" ht="12.75">
      <c r="A74" s="80" t="s">
        <v>217</v>
      </c>
      <c r="B74" s="51" t="s">
        <v>905</v>
      </c>
      <c r="C74" s="81" t="s">
        <v>1503</v>
      </c>
      <c r="D74" s="81" t="s">
        <v>906</v>
      </c>
      <c r="E74" s="81" t="s">
        <v>907</v>
      </c>
      <c r="F74" s="81" t="s">
        <v>1522</v>
      </c>
      <c r="G74" s="81" t="s">
        <v>1567</v>
      </c>
      <c r="H74" s="82" t="s">
        <v>104</v>
      </c>
      <c r="I74" s="82" t="s">
        <v>105</v>
      </c>
      <c r="J74" s="83" t="s">
        <v>106</v>
      </c>
      <c r="K74" s="84"/>
      <c r="L74" s="82" t="s">
        <v>28</v>
      </c>
      <c r="M74" s="83" t="s">
        <v>29</v>
      </c>
      <c r="N74" s="82" t="s">
        <v>30</v>
      </c>
      <c r="O74" s="84"/>
      <c r="P74" s="82" t="s">
        <v>105</v>
      </c>
      <c r="Q74" s="82" t="s">
        <v>586</v>
      </c>
      <c r="R74" s="82" t="s">
        <v>164</v>
      </c>
      <c r="S74" s="84"/>
      <c r="T74" s="84" t="s">
        <v>908</v>
      </c>
      <c r="U74" s="84" t="s">
        <v>909</v>
      </c>
      <c r="V74" s="81" t="s">
        <v>910</v>
      </c>
    </row>
    <row r="75" spans="1:22" ht="12.75">
      <c r="A75" s="80" t="s">
        <v>220</v>
      </c>
      <c r="B75" s="51" t="s">
        <v>911</v>
      </c>
      <c r="C75" s="81" t="s">
        <v>1504</v>
      </c>
      <c r="D75" s="81" t="s">
        <v>548</v>
      </c>
      <c r="E75" s="81" t="s">
        <v>912</v>
      </c>
      <c r="F75" s="81" t="s">
        <v>1522</v>
      </c>
      <c r="G75" s="81" t="s">
        <v>1638</v>
      </c>
      <c r="H75" s="82" t="s">
        <v>96</v>
      </c>
      <c r="I75" s="83" t="s">
        <v>97</v>
      </c>
      <c r="J75" s="82" t="s">
        <v>97</v>
      </c>
      <c r="K75" s="84"/>
      <c r="L75" s="82" t="s">
        <v>18</v>
      </c>
      <c r="M75" s="83" t="s">
        <v>55</v>
      </c>
      <c r="N75" s="82" t="s">
        <v>55</v>
      </c>
      <c r="O75" s="84"/>
      <c r="P75" s="82" t="s">
        <v>124</v>
      </c>
      <c r="Q75" s="83" t="s">
        <v>106</v>
      </c>
      <c r="R75" s="83" t="s">
        <v>106</v>
      </c>
      <c r="S75" s="84"/>
      <c r="T75" s="84" t="s">
        <v>697</v>
      </c>
      <c r="U75" s="84" t="s">
        <v>913</v>
      </c>
      <c r="V75" s="81" t="s">
        <v>185</v>
      </c>
    </row>
    <row r="76" spans="1:22" ht="12.75">
      <c r="A76" s="80" t="s">
        <v>217</v>
      </c>
      <c r="B76" s="51" t="s">
        <v>914</v>
      </c>
      <c r="C76" s="81" t="s">
        <v>1294</v>
      </c>
      <c r="D76" s="81" t="s">
        <v>764</v>
      </c>
      <c r="E76" s="81" t="s">
        <v>902</v>
      </c>
      <c r="F76" s="81" t="s">
        <v>1542</v>
      </c>
      <c r="G76" s="81" t="s">
        <v>1544</v>
      </c>
      <c r="H76" s="83" t="s">
        <v>437</v>
      </c>
      <c r="I76" s="82" t="s">
        <v>437</v>
      </c>
      <c r="J76" s="82" t="s">
        <v>438</v>
      </c>
      <c r="K76" s="84"/>
      <c r="L76" s="82" t="s">
        <v>64</v>
      </c>
      <c r="M76" s="82" t="s">
        <v>65</v>
      </c>
      <c r="N76" s="82" t="s">
        <v>66</v>
      </c>
      <c r="O76" s="84"/>
      <c r="P76" s="83" t="s">
        <v>161</v>
      </c>
      <c r="Q76" s="82" t="s">
        <v>162</v>
      </c>
      <c r="R76" s="83" t="s">
        <v>437</v>
      </c>
      <c r="S76" s="84"/>
      <c r="T76" s="84" t="s">
        <v>915</v>
      </c>
      <c r="U76" s="84" t="s">
        <v>916</v>
      </c>
      <c r="V76" s="81" t="s">
        <v>1109</v>
      </c>
    </row>
    <row r="77" spans="1:22" ht="12.75">
      <c r="A77" s="80" t="s">
        <v>220</v>
      </c>
      <c r="B77" s="51" t="s">
        <v>917</v>
      </c>
      <c r="C77" s="81" t="s">
        <v>1295</v>
      </c>
      <c r="D77" s="81" t="s">
        <v>553</v>
      </c>
      <c r="E77" s="81" t="s">
        <v>918</v>
      </c>
      <c r="F77" s="81" t="s">
        <v>1522</v>
      </c>
      <c r="G77" s="81" t="s">
        <v>1606</v>
      </c>
      <c r="H77" s="82" t="s">
        <v>161</v>
      </c>
      <c r="I77" s="82" t="s">
        <v>637</v>
      </c>
      <c r="J77" s="83" t="s">
        <v>608</v>
      </c>
      <c r="K77" s="84"/>
      <c r="L77" s="82" t="s">
        <v>91</v>
      </c>
      <c r="M77" s="83" t="s">
        <v>66</v>
      </c>
      <c r="N77" s="83" t="s">
        <v>66</v>
      </c>
      <c r="O77" s="84"/>
      <c r="P77" s="82" t="s">
        <v>162</v>
      </c>
      <c r="Q77" s="83" t="s">
        <v>642</v>
      </c>
      <c r="R77" s="84"/>
      <c r="S77" s="84"/>
      <c r="T77" s="84" t="s">
        <v>919</v>
      </c>
      <c r="U77" s="84" t="s">
        <v>920</v>
      </c>
      <c r="V77" s="81" t="s">
        <v>41</v>
      </c>
    </row>
    <row r="78" spans="1:22" ht="12.75">
      <c r="A78" s="80" t="s">
        <v>221</v>
      </c>
      <c r="B78" s="51" t="s">
        <v>921</v>
      </c>
      <c r="C78" s="81" t="s">
        <v>1296</v>
      </c>
      <c r="D78" s="81" t="s">
        <v>552</v>
      </c>
      <c r="E78" s="81" t="s">
        <v>922</v>
      </c>
      <c r="F78" s="81" t="s">
        <v>1522</v>
      </c>
      <c r="G78" s="81" t="s">
        <v>1531</v>
      </c>
      <c r="H78" s="82" t="s">
        <v>164</v>
      </c>
      <c r="I78" s="82" t="s">
        <v>666</v>
      </c>
      <c r="J78" s="83" t="s">
        <v>161</v>
      </c>
      <c r="K78" s="84"/>
      <c r="L78" s="82" t="s">
        <v>66</v>
      </c>
      <c r="M78" s="82" t="s">
        <v>158</v>
      </c>
      <c r="N78" s="82" t="s">
        <v>95</v>
      </c>
      <c r="O78" s="84"/>
      <c r="P78" s="82" t="s">
        <v>164</v>
      </c>
      <c r="Q78" s="82" t="s">
        <v>156</v>
      </c>
      <c r="R78" s="83" t="s">
        <v>923</v>
      </c>
      <c r="S78" s="84"/>
      <c r="T78" s="84" t="s">
        <v>924</v>
      </c>
      <c r="U78" s="84" t="s">
        <v>925</v>
      </c>
      <c r="V78" s="81" t="s">
        <v>41</v>
      </c>
    </row>
    <row r="79" spans="1:22" ht="12.75">
      <c r="A79" s="80" t="s">
        <v>222</v>
      </c>
      <c r="B79" s="51" t="s">
        <v>926</v>
      </c>
      <c r="C79" s="81" t="s">
        <v>1297</v>
      </c>
      <c r="D79" s="81" t="s">
        <v>552</v>
      </c>
      <c r="E79" s="81" t="s">
        <v>922</v>
      </c>
      <c r="F79" s="81" t="s">
        <v>1522</v>
      </c>
      <c r="G79" s="81" t="s">
        <v>1648</v>
      </c>
      <c r="H79" s="82" t="s">
        <v>170</v>
      </c>
      <c r="I79" s="82" t="s">
        <v>156</v>
      </c>
      <c r="J79" s="82" t="s">
        <v>666</v>
      </c>
      <c r="K79" s="84"/>
      <c r="L79" s="82" t="s">
        <v>22</v>
      </c>
      <c r="M79" s="83" t="s">
        <v>23</v>
      </c>
      <c r="N79" s="82" t="s">
        <v>18</v>
      </c>
      <c r="O79" s="84"/>
      <c r="P79" s="82" t="s">
        <v>666</v>
      </c>
      <c r="Q79" s="82" t="s">
        <v>927</v>
      </c>
      <c r="R79" s="83" t="s">
        <v>928</v>
      </c>
      <c r="S79" s="84"/>
      <c r="T79" s="84" t="s">
        <v>929</v>
      </c>
      <c r="U79" s="84" t="s">
        <v>930</v>
      </c>
      <c r="V79" s="81" t="s">
        <v>931</v>
      </c>
    </row>
    <row r="80" spans="1:22" ht="12.75">
      <c r="A80" s="80" t="s">
        <v>223</v>
      </c>
      <c r="B80" s="51" t="s">
        <v>932</v>
      </c>
      <c r="C80" s="81" t="s">
        <v>1298</v>
      </c>
      <c r="D80" s="81" t="s">
        <v>933</v>
      </c>
      <c r="E80" s="81" t="s">
        <v>934</v>
      </c>
      <c r="F80" s="81" t="s">
        <v>1522</v>
      </c>
      <c r="G80" s="81" t="s">
        <v>1649</v>
      </c>
      <c r="H80" s="82" t="s">
        <v>121</v>
      </c>
      <c r="I80" s="82" t="s">
        <v>164</v>
      </c>
      <c r="J80" s="83" t="s">
        <v>161</v>
      </c>
      <c r="K80" s="84"/>
      <c r="L80" s="82" t="s">
        <v>65</v>
      </c>
      <c r="M80" s="82" t="s">
        <v>91</v>
      </c>
      <c r="N80" s="83" t="s">
        <v>307</v>
      </c>
      <c r="O80" s="84"/>
      <c r="P80" s="82" t="s">
        <v>155</v>
      </c>
      <c r="Q80" s="83" t="s">
        <v>156</v>
      </c>
      <c r="R80" s="82" t="s">
        <v>156</v>
      </c>
      <c r="S80" s="84"/>
      <c r="T80" s="84" t="s">
        <v>935</v>
      </c>
      <c r="U80" s="84" t="s">
        <v>936</v>
      </c>
      <c r="V80" s="81" t="s">
        <v>441</v>
      </c>
    </row>
    <row r="81" spans="1:22" ht="12.75">
      <c r="A81" s="80" t="s">
        <v>224</v>
      </c>
      <c r="B81" s="51" t="s">
        <v>937</v>
      </c>
      <c r="C81" s="81" t="s">
        <v>1299</v>
      </c>
      <c r="D81" s="81" t="s">
        <v>547</v>
      </c>
      <c r="E81" s="81" t="s">
        <v>938</v>
      </c>
      <c r="F81" s="81" t="s">
        <v>1699</v>
      </c>
      <c r="G81" s="81" t="s">
        <v>1106</v>
      </c>
      <c r="H81" s="82" t="s">
        <v>170</v>
      </c>
      <c r="I81" s="83" t="s">
        <v>666</v>
      </c>
      <c r="J81" s="83" t="s">
        <v>161</v>
      </c>
      <c r="K81" s="84"/>
      <c r="L81" s="83" t="s">
        <v>91</v>
      </c>
      <c r="M81" s="82" t="s">
        <v>84</v>
      </c>
      <c r="N81" s="82" t="s">
        <v>128</v>
      </c>
      <c r="O81" s="84"/>
      <c r="P81" s="82" t="s">
        <v>121</v>
      </c>
      <c r="Q81" s="83" t="s">
        <v>164</v>
      </c>
      <c r="R81" s="83" t="s">
        <v>164</v>
      </c>
      <c r="S81" s="84"/>
      <c r="T81" s="84" t="s">
        <v>939</v>
      </c>
      <c r="U81" s="84" t="s">
        <v>940</v>
      </c>
      <c r="V81" s="81" t="s">
        <v>941</v>
      </c>
    </row>
    <row r="82" spans="1:22" ht="12.75">
      <c r="A82" s="80" t="s">
        <v>225</v>
      </c>
      <c r="B82" s="51" t="s">
        <v>942</v>
      </c>
      <c r="C82" s="81" t="s">
        <v>1300</v>
      </c>
      <c r="D82" s="81" t="s">
        <v>943</v>
      </c>
      <c r="E82" s="81" t="s">
        <v>944</v>
      </c>
      <c r="F82" s="81" t="s">
        <v>1540</v>
      </c>
      <c r="G82" s="81" t="s">
        <v>1539</v>
      </c>
      <c r="H82" s="82" t="s">
        <v>125</v>
      </c>
      <c r="I82" s="83" t="s">
        <v>106</v>
      </c>
      <c r="J82" s="82" t="s">
        <v>106</v>
      </c>
      <c r="K82" s="84"/>
      <c r="L82" s="82" t="s">
        <v>55</v>
      </c>
      <c r="M82" s="82" t="s">
        <v>70</v>
      </c>
      <c r="N82" s="83" t="s">
        <v>64</v>
      </c>
      <c r="O82" s="84"/>
      <c r="P82" s="82" t="s">
        <v>135</v>
      </c>
      <c r="Q82" s="82" t="s">
        <v>170</v>
      </c>
      <c r="R82" s="83" t="s">
        <v>164</v>
      </c>
      <c r="S82" s="84"/>
      <c r="T82" s="84" t="s">
        <v>945</v>
      </c>
      <c r="U82" s="84" t="s">
        <v>946</v>
      </c>
      <c r="V82" s="81" t="s">
        <v>41</v>
      </c>
    </row>
    <row r="83" spans="1:22" ht="12.75">
      <c r="A83" s="80" t="s">
        <v>226</v>
      </c>
      <c r="B83" s="51" t="s">
        <v>947</v>
      </c>
      <c r="C83" s="81" t="s">
        <v>1301</v>
      </c>
      <c r="D83" s="81" t="s">
        <v>948</v>
      </c>
      <c r="E83" s="81" t="s">
        <v>949</v>
      </c>
      <c r="F83" s="81" t="s">
        <v>1522</v>
      </c>
      <c r="G83" s="81" t="s">
        <v>1567</v>
      </c>
      <c r="H83" s="82" t="s">
        <v>106</v>
      </c>
      <c r="I83" s="82" t="s">
        <v>121</v>
      </c>
      <c r="J83" s="83" t="s">
        <v>170</v>
      </c>
      <c r="K83" s="84"/>
      <c r="L83" s="82" t="s">
        <v>17</v>
      </c>
      <c r="M83" s="82" t="s">
        <v>132</v>
      </c>
      <c r="N83" s="82" t="s">
        <v>18</v>
      </c>
      <c r="O83" s="84"/>
      <c r="P83" s="82" t="s">
        <v>124</v>
      </c>
      <c r="Q83" s="82" t="s">
        <v>105</v>
      </c>
      <c r="R83" s="82" t="s">
        <v>106</v>
      </c>
      <c r="S83" s="84"/>
      <c r="T83" s="84" t="s">
        <v>950</v>
      </c>
      <c r="U83" s="84" t="s">
        <v>951</v>
      </c>
      <c r="V83" s="81" t="s">
        <v>1110</v>
      </c>
    </row>
    <row r="84" spans="1:22" ht="12.75">
      <c r="A84" s="80" t="s">
        <v>568</v>
      </c>
      <c r="B84" s="51" t="s">
        <v>952</v>
      </c>
      <c r="C84" s="81" t="s">
        <v>1302</v>
      </c>
      <c r="D84" s="81" t="s">
        <v>943</v>
      </c>
      <c r="E84" s="81" t="s">
        <v>944</v>
      </c>
      <c r="F84" s="81" t="s">
        <v>1522</v>
      </c>
      <c r="G84" s="81" t="s">
        <v>1650</v>
      </c>
      <c r="H84" s="82" t="s">
        <v>124</v>
      </c>
      <c r="I84" s="83" t="s">
        <v>106</v>
      </c>
      <c r="J84" s="82" t="s">
        <v>106</v>
      </c>
      <c r="K84" s="84"/>
      <c r="L84" s="82" t="s">
        <v>30</v>
      </c>
      <c r="M84" s="82" t="s">
        <v>17</v>
      </c>
      <c r="N84" s="83" t="s">
        <v>23</v>
      </c>
      <c r="O84" s="84"/>
      <c r="P84" s="83" t="s">
        <v>104</v>
      </c>
      <c r="Q84" s="82" t="s">
        <v>120</v>
      </c>
      <c r="R84" s="82" t="s">
        <v>124</v>
      </c>
      <c r="S84" s="84"/>
      <c r="T84" s="84" t="s">
        <v>953</v>
      </c>
      <c r="U84" s="84" t="s">
        <v>954</v>
      </c>
      <c r="V84" s="81" t="s">
        <v>41</v>
      </c>
    </row>
    <row r="85" spans="1:22" ht="12.75">
      <c r="A85" s="80" t="s">
        <v>569</v>
      </c>
      <c r="B85" s="51" t="s">
        <v>955</v>
      </c>
      <c r="C85" s="81" t="s">
        <v>1303</v>
      </c>
      <c r="D85" s="81" t="s">
        <v>673</v>
      </c>
      <c r="E85" s="81" t="s">
        <v>956</v>
      </c>
      <c r="F85" s="81" t="s">
        <v>1542</v>
      </c>
      <c r="G85" s="81" t="s">
        <v>1545</v>
      </c>
      <c r="H85" s="83" t="s">
        <v>173</v>
      </c>
      <c r="I85" s="82" t="s">
        <v>173</v>
      </c>
      <c r="J85" s="83" t="s">
        <v>105</v>
      </c>
      <c r="K85" s="84"/>
      <c r="L85" s="82" t="s">
        <v>30</v>
      </c>
      <c r="M85" s="83" t="s">
        <v>17</v>
      </c>
      <c r="N85" s="83" t="s">
        <v>17</v>
      </c>
      <c r="O85" s="84"/>
      <c r="P85" s="82" t="s">
        <v>83</v>
      </c>
      <c r="Q85" s="82" t="s">
        <v>124</v>
      </c>
      <c r="R85" s="82" t="s">
        <v>106</v>
      </c>
      <c r="S85" s="84"/>
      <c r="T85" s="84" t="s">
        <v>957</v>
      </c>
      <c r="U85" s="84" t="s">
        <v>958</v>
      </c>
      <c r="V85" s="81" t="s">
        <v>1111</v>
      </c>
    </row>
    <row r="86" spans="1:22" ht="12.75">
      <c r="A86" s="80" t="s">
        <v>570</v>
      </c>
      <c r="B86" s="51" t="s">
        <v>959</v>
      </c>
      <c r="C86" s="81" t="s">
        <v>1304</v>
      </c>
      <c r="D86" s="81" t="s">
        <v>188</v>
      </c>
      <c r="E86" s="81" t="s">
        <v>960</v>
      </c>
      <c r="F86" s="81" t="s">
        <v>1700</v>
      </c>
      <c r="G86" s="81" t="s">
        <v>1107</v>
      </c>
      <c r="H86" s="82" t="s">
        <v>63</v>
      </c>
      <c r="I86" s="82" t="s">
        <v>104</v>
      </c>
      <c r="J86" s="82" t="s">
        <v>105</v>
      </c>
      <c r="K86" s="84"/>
      <c r="L86" s="82" t="s">
        <v>45</v>
      </c>
      <c r="M86" s="82" t="s">
        <v>29</v>
      </c>
      <c r="N86" s="83" t="s">
        <v>22</v>
      </c>
      <c r="O86" s="84"/>
      <c r="P86" s="82" t="s">
        <v>83</v>
      </c>
      <c r="Q86" s="82" t="s">
        <v>124</v>
      </c>
      <c r="R86" s="82" t="s">
        <v>106</v>
      </c>
      <c r="S86" s="83" t="s">
        <v>121</v>
      </c>
      <c r="T86" s="84" t="s">
        <v>957</v>
      </c>
      <c r="U86" s="84" t="s">
        <v>961</v>
      </c>
      <c r="V86" s="81" t="s">
        <v>962</v>
      </c>
    </row>
    <row r="87" spans="1:22" ht="12.75">
      <c r="A87" s="80" t="s">
        <v>571</v>
      </c>
      <c r="B87" s="51" t="s">
        <v>963</v>
      </c>
      <c r="C87" s="81" t="s">
        <v>1305</v>
      </c>
      <c r="D87" s="81" t="s">
        <v>964</v>
      </c>
      <c r="E87" s="81" t="s">
        <v>965</v>
      </c>
      <c r="F87" s="81" t="s">
        <v>1540</v>
      </c>
      <c r="G87" s="81" t="s">
        <v>1688</v>
      </c>
      <c r="H87" s="83" t="s">
        <v>63</v>
      </c>
      <c r="I87" s="82" t="s">
        <v>63</v>
      </c>
      <c r="J87" s="83" t="s">
        <v>83</v>
      </c>
      <c r="K87" s="84"/>
      <c r="L87" s="83" t="s">
        <v>35</v>
      </c>
      <c r="M87" s="82" t="s">
        <v>35</v>
      </c>
      <c r="N87" s="83" t="s">
        <v>30</v>
      </c>
      <c r="O87" s="84"/>
      <c r="P87" s="83" t="s">
        <v>83</v>
      </c>
      <c r="Q87" s="83" t="s">
        <v>83</v>
      </c>
      <c r="R87" s="82" t="s">
        <v>83</v>
      </c>
      <c r="S87" s="84"/>
      <c r="T87" s="84" t="s">
        <v>216</v>
      </c>
      <c r="U87" s="84" t="s">
        <v>966</v>
      </c>
      <c r="V87" s="81" t="s">
        <v>41</v>
      </c>
    </row>
    <row r="88" spans="1:22" ht="12.75">
      <c r="A88" s="80" t="s">
        <v>572</v>
      </c>
      <c r="B88" s="51" t="s">
        <v>967</v>
      </c>
      <c r="C88" s="81" t="s">
        <v>1306</v>
      </c>
      <c r="D88" s="81" t="s">
        <v>539</v>
      </c>
      <c r="E88" s="81" t="s">
        <v>968</v>
      </c>
      <c r="F88" s="81" t="s">
        <v>1522</v>
      </c>
      <c r="G88" s="81" t="s">
        <v>1651</v>
      </c>
      <c r="H88" s="82" t="s">
        <v>84</v>
      </c>
      <c r="I88" s="83" t="s">
        <v>95</v>
      </c>
      <c r="J88" s="82" t="s">
        <v>95</v>
      </c>
      <c r="K88" s="84"/>
      <c r="L88" s="82" t="s">
        <v>34</v>
      </c>
      <c r="M88" s="82" t="s">
        <v>28</v>
      </c>
      <c r="N88" s="83" t="s">
        <v>114</v>
      </c>
      <c r="O88" s="84"/>
      <c r="P88" s="82" t="s">
        <v>66</v>
      </c>
      <c r="Q88" s="82" t="s">
        <v>63</v>
      </c>
      <c r="R88" s="82" t="s">
        <v>83</v>
      </c>
      <c r="S88" s="84"/>
      <c r="T88" s="84" t="s">
        <v>969</v>
      </c>
      <c r="U88" s="84" t="s">
        <v>970</v>
      </c>
      <c r="V88" s="81" t="s">
        <v>1112</v>
      </c>
    </row>
    <row r="89" spans="1:22" ht="12.75">
      <c r="A89" s="80" t="s">
        <v>219</v>
      </c>
      <c r="B89" s="51" t="s">
        <v>971</v>
      </c>
      <c r="C89" s="81" t="s">
        <v>1307</v>
      </c>
      <c r="D89" s="81" t="s">
        <v>964</v>
      </c>
      <c r="E89" s="81" t="s">
        <v>965</v>
      </c>
      <c r="F89" s="81" t="s">
        <v>1691</v>
      </c>
      <c r="G89" s="81" t="s">
        <v>1692</v>
      </c>
      <c r="H89" s="83" t="s">
        <v>401</v>
      </c>
      <c r="I89" s="83" t="s">
        <v>164</v>
      </c>
      <c r="J89" s="83" t="s">
        <v>164</v>
      </c>
      <c r="K89" s="84"/>
      <c r="L89" s="83"/>
      <c r="M89" s="83"/>
      <c r="N89" s="83"/>
      <c r="O89" s="84"/>
      <c r="P89" s="83"/>
      <c r="Q89" s="84"/>
      <c r="R89" s="84"/>
      <c r="S89" s="84"/>
      <c r="T89" s="84" t="s">
        <v>13</v>
      </c>
      <c r="U89" s="84" t="s">
        <v>972</v>
      </c>
      <c r="V89" s="81" t="s">
        <v>41</v>
      </c>
    </row>
    <row r="90" spans="1:22" ht="12.75">
      <c r="A90" s="80" t="s">
        <v>219</v>
      </c>
      <c r="B90" s="51" t="s">
        <v>973</v>
      </c>
      <c r="C90" s="81" t="s">
        <v>1308</v>
      </c>
      <c r="D90" s="81" t="s">
        <v>553</v>
      </c>
      <c r="E90" s="81" t="s">
        <v>918</v>
      </c>
      <c r="F90" s="81" t="s">
        <v>1522</v>
      </c>
      <c r="G90" s="81" t="s">
        <v>1606</v>
      </c>
      <c r="H90" s="83" t="s">
        <v>155</v>
      </c>
      <c r="I90" s="83" t="s">
        <v>155</v>
      </c>
      <c r="J90" s="83" t="s">
        <v>155</v>
      </c>
      <c r="K90" s="84"/>
      <c r="L90" s="83"/>
      <c r="M90" s="83"/>
      <c r="N90" s="83"/>
      <c r="O90" s="84"/>
      <c r="P90" s="83"/>
      <c r="Q90" s="84"/>
      <c r="R90" s="84"/>
      <c r="S90" s="84"/>
      <c r="T90" s="84" t="s">
        <v>13</v>
      </c>
      <c r="U90" s="84" t="s">
        <v>972</v>
      </c>
      <c r="V90" s="81" t="s">
        <v>41</v>
      </c>
    </row>
    <row r="91" spans="1:22" ht="12.75">
      <c r="A91" s="80" t="s">
        <v>219</v>
      </c>
      <c r="B91" s="51" t="s">
        <v>974</v>
      </c>
      <c r="C91" s="81" t="s">
        <v>1309</v>
      </c>
      <c r="D91" s="81" t="s">
        <v>553</v>
      </c>
      <c r="E91" s="81" t="s">
        <v>918</v>
      </c>
      <c r="F91" s="81" t="s">
        <v>1522</v>
      </c>
      <c r="G91" s="81" t="s">
        <v>1643</v>
      </c>
      <c r="H91" s="83" t="s">
        <v>164</v>
      </c>
      <c r="I91" s="83" t="s">
        <v>164</v>
      </c>
      <c r="J91" s="83" t="s">
        <v>164</v>
      </c>
      <c r="K91" s="84"/>
      <c r="L91" s="83"/>
      <c r="M91" s="84"/>
      <c r="N91" s="83"/>
      <c r="O91" s="84"/>
      <c r="P91" s="83"/>
      <c r="Q91" s="84"/>
      <c r="R91" s="84"/>
      <c r="S91" s="84"/>
      <c r="T91" s="84" t="s">
        <v>13</v>
      </c>
      <c r="U91" s="84" t="s">
        <v>972</v>
      </c>
      <c r="V91" s="81" t="s">
        <v>41</v>
      </c>
    </row>
    <row r="92" spans="1:22" ht="12.75">
      <c r="A92" s="80" t="s">
        <v>217</v>
      </c>
      <c r="B92" s="51" t="s">
        <v>975</v>
      </c>
      <c r="C92" s="81" t="s">
        <v>1429</v>
      </c>
      <c r="D92" s="81" t="s">
        <v>548</v>
      </c>
      <c r="E92" s="81" t="s">
        <v>912</v>
      </c>
      <c r="F92" s="81" t="s">
        <v>1522</v>
      </c>
      <c r="G92" s="81" t="s">
        <v>1652</v>
      </c>
      <c r="H92" s="82" t="s">
        <v>104</v>
      </c>
      <c r="I92" s="82" t="s">
        <v>124</v>
      </c>
      <c r="J92" s="82" t="s">
        <v>105</v>
      </c>
      <c r="K92" s="84"/>
      <c r="L92" s="82" t="s">
        <v>18</v>
      </c>
      <c r="M92" s="82" t="s">
        <v>337</v>
      </c>
      <c r="N92" s="82" t="s">
        <v>72</v>
      </c>
      <c r="O92" s="84"/>
      <c r="P92" s="82" t="s">
        <v>121</v>
      </c>
      <c r="Q92" s="82" t="s">
        <v>155</v>
      </c>
      <c r="R92" s="82" t="s">
        <v>156</v>
      </c>
      <c r="S92" s="84"/>
      <c r="T92" s="84" t="s">
        <v>976</v>
      </c>
      <c r="U92" s="84" t="s">
        <v>977</v>
      </c>
      <c r="V92" s="81" t="s">
        <v>41</v>
      </c>
    </row>
    <row r="93" spans="1:22" ht="12.75">
      <c r="A93" s="80" t="s">
        <v>220</v>
      </c>
      <c r="B93" s="51" t="s">
        <v>978</v>
      </c>
      <c r="C93" s="81" t="s">
        <v>1430</v>
      </c>
      <c r="D93" s="81" t="s">
        <v>551</v>
      </c>
      <c r="E93" s="81" t="s">
        <v>979</v>
      </c>
      <c r="F93" s="81" t="s">
        <v>257</v>
      </c>
      <c r="G93" s="81" t="s">
        <v>1635</v>
      </c>
      <c r="H93" s="82" t="s">
        <v>120</v>
      </c>
      <c r="I93" s="83" t="s">
        <v>105</v>
      </c>
      <c r="J93" s="82" t="s">
        <v>105</v>
      </c>
      <c r="K93" s="84"/>
      <c r="L93" s="82" t="s">
        <v>72</v>
      </c>
      <c r="M93" s="82" t="s">
        <v>64</v>
      </c>
      <c r="N93" s="84"/>
      <c r="O93" s="84"/>
      <c r="P93" s="82" t="s">
        <v>124</v>
      </c>
      <c r="Q93" s="82" t="s">
        <v>125</v>
      </c>
      <c r="R93" s="82" t="s">
        <v>139</v>
      </c>
      <c r="S93" s="84"/>
      <c r="T93" s="84" t="s">
        <v>980</v>
      </c>
      <c r="U93" s="84" t="s">
        <v>981</v>
      </c>
      <c r="V93" s="81" t="s">
        <v>41</v>
      </c>
    </row>
    <row r="94" spans="1:22" ht="12.75">
      <c r="A94" s="80" t="s">
        <v>221</v>
      </c>
      <c r="B94" s="51" t="s">
        <v>982</v>
      </c>
      <c r="C94" s="81" t="s">
        <v>1431</v>
      </c>
      <c r="D94" s="81" t="s">
        <v>547</v>
      </c>
      <c r="E94" s="81" t="s">
        <v>938</v>
      </c>
      <c r="F94" s="81" t="s">
        <v>1108</v>
      </c>
      <c r="G94" s="81" t="s">
        <v>1531</v>
      </c>
      <c r="H94" s="82" t="s">
        <v>55</v>
      </c>
      <c r="I94" s="82" t="s">
        <v>70</v>
      </c>
      <c r="J94" s="83" t="s">
        <v>65</v>
      </c>
      <c r="K94" s="84"/>
      <c r="L94" s="82" t="s">
        <v>28</v>
      </c>
      <c r="M94" s="82" t="s">
        <v>45</v>
      </c>
      <c r="N94" s="82" t="s">
        <v>35</v>
      </c>
      <c r="O94" s="84"/>
      <c r="P94" s="82" t="s">
        <v>91</v>
      </c>
      <c r="Q94" s="82" t="s">
        <v>84</v>
      </c>
      <c r="R94" s="82" t="s">
        <v>63</v>
      </c>
      <c r="S94" s="84"/>
      <c r="T94" s="84" t="s">
        <v>983</v>
      </c>
      <c r="U94" s="84" t="s">
        <v>984</v>
      </c>
      <c r="V94" s="81" t="s">
        <v>9</v>
      </c>
    </row>
    <row r="95" spans="1:22" ht="12.75">
      <c r="A95" s="80" t="s">
        <v>217</v>
      </c>
      <c r="B95" s="51" t="s">
        <v>959</v>
      </c>
      <c r="C95" s="81" t="s">
        <v>1432</v>
      </c>
      <c r="D95" s="81" t="s">
        <v>188</v>
      </c>
      <c r="E95" s="81" t="s">
        <v>960</v>
      </c>
      <c r="F95" s="81" t="s">
        <v>1700</v>
      </c>
      <c r="G95" s="81" t="s">
        <v>1107</v>
      </c>
      <c r="H95" s="82" t="s">
        <v>63</v>
      </c>
      <c r="I95" s="82" t="s">
        <v>104</v>
      </c>
      <c r="J95" s="82" t="s">
        <v>105</v>
      </c>
      <c r="K95" s="84"/>
      <c r="L95" s="82" t="s">
        <v>45</v>
      </c>
      <c r="M95" s="82" t="s">
        <v>29</v>
      </c>
      <c r="N95" s="83" t="s">
        <v>22</v>
      </c>
      <c r="O95" s="84"/>
      <c r="P95" s="82" t="s">
        <v>83</v>
      </c>
      <c r="Q95" s="82" t="s">
        <v>124</v>
      </c>
      <c r="R95" s="82" t="s">
        <v>106</v>
      </c>
      <c r="S95" s="83" t="s">
        <v>121</v>
      </c>
      <c r="T95" s="84" t="s">
        <v>957</v>
      </c>
      <c r="U95" s="84" t="s">
        <v>985</v>
      </c>
      <c r="V95" s="81" t="s">
        <v>962</v>
      </c>
    </row>
    <row r="96" spans="1:22" ht="12.75">
      <c r="A96" s="80" t="s">
        <v>217</v>
      </c>
      <c r="B96" s="51" t="s">
        <v>986</v>
      </c>
      <c r="C96" s="81" t="s">
        <v>1433</v>
      </c>
      <c r="D96" s="81" t="s">
        <v>987</v>
      </c>
      <c r="E96" s="81" t="s">
        <v>988</v>
      </c>
      <c r="F96" s="81" t="s">
        <v>1551</v>
      </c>
      <c r="G96" s="81" t="s">
        <v>1553</v>
      </c>
      <c r="H96" s="82" t="s">
        <v>190</v>
      </c>
      <c r="I96" s="82" t="s">
        <v>307</v>
      </c>
      <c r="J96" s="82" t="s">
        <v>63</v>
      </c>
      <c r="K96" s="84"/>
      <c r="L96" s="82" t="s">
        <v>34</v>
      </c>
      <c r="M96" s="82" t="s">
        <v>285</v>
      </c>
      <c r="N96" s="83" t="s">
        <v>113</v>
      </c>
      <c r="O96" s="84"/>
      <c r="P96" s="82" t="s">
        <v>66</v>
      </c>
      <c r="Q96" s="82" t="s">
        <v>95</v>
      </c>
      <c r="R96" s="82" t="s">
        <v>96</v>
      </c>
      <c r="S96" s="84"/>
      <c r="T96" s="84" t="s">
        <v>989</v>
      </c>
      <c r="U96" s="84" t="s">
        <v>990</v>
      </c>
      <c r="V96" s="81" t="s">
        <v>41</v>
      </c>
    </row>
    <row r="97" spans="1:22" ht="12.75">
      <c r="A97" s="85" t="s">
        <v>220</v>
      </c>
      <c r="B97" s="52" t="s">
        <v>991</v>
      </c>
      <c r="C97" s="86" t="s">
        <v>1434</v>
      </c>
      <c r="D97" s="86" t="s">
        <v>992</v>
      </c>
      <c r="E97" s="86" t="s">
        <v>993</v>
      </c>
      <c r="F97" s="86" t="s">
        <v>1522</v>
      </c>
      <c r="G97" s="86" t="s">
        <v>1653</v>
      </c>
      <c r="H97" s="87" t="s">
        <v>70</v>
      </c>
      <c r="I97" s="87" t="s">
        <v>65</v>
      </c>
      <c r="J97" s="87" t="s">
        <v>63</v>
      </c>
      <c r="K97" s="88"/>
      <c r="L97" s="87" t="s">
        <v>34</v>
      </c>
      <c r="M97" s="89" t="s">
        <v>28</v>
      </c>
      <c r="N97" s="89" t="s">
        <v>28</v>
      </c>
      <c r="O97" s="88"/>
      <c r="P97" s="87" t="s">
        <v>76</v>
      </c>
      <c r="Q97" s="87" t="s">
        <v>65</v>
      </c>
      <c r="R97" s="87" t="s">
        <v>95</v>
      </c>
      <c r="S97" s="88"/>
      <c r="T97" s="88" t="s">
        <v>454</v>
      </c>
      <c r="U97" s="88" t="s">
        <v>994</v>
      </c>
      <c r="V97" s="86" t="s">
        <v>41</v>
      </c>
    </row>
    <row r="98" spans="1:22" ht="12.75">
      <c r="A98" s="90"/>
      <c r="B98" s="90"/>
      <c r="C98" s="74"/>
      <c r="D98" s="74"/>
      <c r="E98" s="74"/>
      <c r="F98" s="74"/>
      <c r="G98" s="74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74"/>
    </row>
    <row r="99" spans="1:22" ht="15">
      <c r="A99" s="128" t="s">
        <v>1158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74"/>
    </row>
    <row r="100" spans="1:22" ht="12.75">
      <c r="A100" s="75" t="s">
        <v>217</v>
      </c>
      <c r="B100" s="50" t="s">
        <v>995</v>
      </c>
      <c r="C100" s="76" t="s">
        <v>1505</v>
      </c>
      <c r="D100" s="76" t="s">
        <v>996</v>
      </c>
      <c r="E100" s="76" t="s">
        <v>997</v>
      </c>
      <c r="F100" s="76" t="s">
        <v>1522</v>
      </c>
      <c r="G100" s="76" t="s">
        <v>1525</v>
      </c>
      <c r="H100" s="79" t="s">
        <v>161</v>
      </c>
      <c r="I100" s="79" t="s">
        <v>642</v>
      </c>
      <c r="J100" s="77" t="s">
        <v>642</v>
      </c>
      <c r="K100" s="78"/>
      <c r="L100" s="77" t="s">
        <v>70</v>
      </c>
      <c r="M100" s="77" t="s">
        <v>527</v>
      </c>
      <c r="N100" s="79" t="s">
        <v>190</v>
      </c>
      <c r="O100" s="78"/>
      <c r="P100" s="77" t="s">
        <v>165</v>
      </c>
      <c r="Q100" s="79" t="s">
        <v>998</v>
      </c>
      <c r="R100" s="79" t="s">
        <v>998</v>
      </c>
      <c r="S100" s="78"/>
      <c r="T100" s="78" t="s">
        <v>999</v>
      </c>
      <c r="U100" s="78" t="s">
        <v>1000</v>
      </c>
      <c r="V100" s="76" t="s">
        <v>41</v>
      </c>
    </row>
    <row r="101" spans="1:22" ht="12.75">
      <c r="A101" s="80" t="s">
        <v>220</v>
      </c>
      <c r="B101" s="51" t="s">
        <v>1001</v>
      </c>
      <c r="C101" s="81" t="s">
        <v>1506</v>
      </c>
      <c r="D101" s="81" t="s">
        <v>555</v>
      </c>
      <c r="E101" s="81" t="s">
        <v>1002</v>
      </c>
      <c r="F101" s="81" t="s">
        <v>1522</v>
      </c>
      <c r="G101" s="81" t="s">
        <v>1654</v>
      </c>
      <c r="H101" s="82" t="s">
        <v>95</v>
      </c>
      <c r="I101" s="82" t="s">
        <v>104</v>
      </c>
      <c r="J101" s="82" t="s">
        <v>124</v>
      </c>
      <c r="K101" s="84"/>
      <c r="L101" s="82" t="s">
        <v>23</v>
      </c>
      <c r="M101" s="82" t="s">
        <v>55</v>
      </c>
      <c r="N101" s="82" t="s">
        <v>76</v>
      </c>
      <c r="O101" s="84"/>
      <c r="P101" s="83" t="s">
        <v>401</v>
      </c>
      <c r="Q101" s="82" t="s">
        <v>401</v>
      </c>
      <c r="R101" s="83" t="s">
        <v>170</v>
      </c>
      <c r="S101" s="84"/>
      <c r="T101" s="84" t="s">
        <v>755</v>
      </c>
      <c r="U101" s="84" t="s">
        <v>1003</v>
      </c>
      <c r="V101" s="81" t="s">
        <v>1004</v>
      </c>
    </row>
    <row r="102" spans="1:22" ht="12.75">
      <c r="A102" s="80" t="s">
        <v>217</v>
      </c>
      <c r="B102" s="51" t="s">
        <v>1005</v>
      </c>
      <c r="C102" s="81" t="s">
        <v>1310</v>
      </c>
      <c r="D102" s="81" t="s">
        <v>1006</v>
      </c>
      <c r="E102" s="81" t="s">
        <v>1007</v>
      </c>
      <c r="F102" s="81" t="s">
        <v>1522</v>
      </c>
      <c r="G102" s="81" t="s">
        <v>1655</v>
      </c>
      <c r="H102" s="82" t="s">
        <v>162</v>
      </c>
      <c r="I102" s="83" t="s">
        <v>437</v>
      </c>
      <c r="J102" s="83" t="s">
        <v>640</v>
      </c>
      <c r="K102" s="84"/>
      <c r="L102" s="82" t="s">
        <v>76</v>
      </c>
      <c r="M102" s="83" t="s">
        <v>64</v>
      </c>
      <c r="N102" s="82" t="s">
        <v>64</v>
      </c>
      <c r="O102" s="84"/>
      <c r="P102" s="82" t="s">
        <v>642</v>
      </c>
      <c r="Q102" s="82" t="s">
        <v>437</v>
      </c>
      <c r="R102" s="83" t="s">
        <v>692</v>
      </c>
      <c r="S102" s="84"/>
      <c r="T102" s="84" t="s">
        <v>919</v>
      </c>
      <c r="U102" s="84" t="s">
        <v>1008</v>
      </c>
      <c r="V102" s="81" t="s">
        <v>41</v>
      </c>
    </row>
    <row r="103" spans="1:22" ht="12.75">
      <c r="A103" s="80" t="s">
        <v>220</v>
      </c>
      <c r="B103" s="51" t="s">
        <v>995</v>
      </c>
      <c r="C103" s="81" t="s">
        <v>1311</v>
      </c>
      <c r="D103" s="81" t="s">
        <v>996</v>
      </c>
      <c r="E103" s="81" t="s">
        <v>997</v>
      </c>
      <c r="F103" s="81" t="s">
        <v>1522</v>
      </c>
      <c r="G103" s="81" t="s">
        <v>1525</v>
      </c>
      <c r="H103" s="83" t="s">
        <v>161</v>
      </c>
      <c r="I103" s="83" t="s">
        <v>642</v>
      </c>
      <c r="J103" s="82" t="s">
        <v>642</v>
      </c>
      <c r="K103" s="84"/>
      <c r="L103" s="82" t="s">
        <v>70</v>
      </c>
      <c r="M103" s="82" t="s">
        <v>527</v>
      </c>
      <c r="N103" s="83" t="s">
        <v>190</v>
      </c>
      <c r="O103" s="84"/>
      <c r="P103" s="82" t="s">
        <v>165</v>
      </c>
      <c r="Q103" s="83" t="s">
        <v>998</v>
      </c>
      <c r="R103" s="83" t="s">
        <v>998</v>
      </c>
      <c r="S103" s="84"/>
      <c r="T103" s="84" t="s">
        <v>999</v>
      </c>
      <c r="U103" s="84" t="s">
        <v>1000</v>
      </c>
      <c r="V103" s="81" t="s">
        <v>41</v>
      </c>
    </row>
    <row r="104" spans="1:22" ht="12.75">
      <c r="A104" s="80" t="s">
        <v>221</v>
      </c>
      <c r="B104" s="51" t="s">
        <v>1009</v>
      </c>
      <c r="C104" s="81" t="s">
        <v>1312</v>
      </c>
      <c r="D104" s="81" t="s">
        <v>554</v>
      </c>
      <c r="E104" s="81" t="s">
        <v>1010</v>
      </c>
      <c r="F104" s="81" t="s">
        <v>1522</v>
      </c>
      <c r="G104" s="81" t="s">
        <v>1656</v>
      </c>
      <c r="H104" s="83" t="s">
        <v>162</v>
      </c>
      <c r="I104" s="83" t="s">
        <v>162</v>
      </c>
      <c r="J104" s="82" t="s">
        <v>162</v>
      </c>
      <c r="K104" s="84"/>
      <c r="L104" s="82" t="s">
        <v>65</v>
      </c>
      <c r="M104" s="82" t="s">
        <v>66</v>
      </c>
      <c r="N104" s="82" t="s">
        <v>84</v>
      </c>
      <c r="O104" s="84"/>
      <c r="P104" s="82" t="s">
        <v>164</v>
      </c>
      <c r="Q104" s="83" t="s">
        <v>157</v>
      </c>
      <c r="R104" s="83" t="s">
        <v>157</v>
      </c>
      <c r="S104" s="84"/>
      <c r="T104" s="84" t="s">
        <v>924</v>
      </c>
      <c r="U104" s="84" t="s">
        <v>1011</v>
      </c>
      <c r="V104" s="81" t="s">
        <v>41</v>
      </c>
    </row>
    <row r="105" spans="1:22" ht="12.75">
      <c r="A105" s="80" t="s">
        <v>222</v>
      </c>
      <c r="B105" s="51" t="s">
        <v>1012</v>
      </c>
      <c r="C105" s="81" t="s">
        <v>1313</v>
      </c>
      <c r="D105" s="81" t="s">
        <v>558</v>
      </c>
      <c r="E105" s="81" t="s">
        <v>1013</v>
      </c>
      <c r="F105" s="81" t="s">
        <v>1522</v>
      </c>
      <c r="G105" s="81" t="s">
        <v>1657</v>
      </c>
      <c r="H105" s="82" t="s">
        <v>165</v>
      </c>
      <c r="I105" s="82" t="s">
        <v>642</v>
      </c>
      <c r="J105" s="82" t="s">
        <v>1014</v>
      </c>
      <c r="K105" s="84"/>
      <c r="L105" s="82" t="s">
        <v>65</v>
      </c>
      <c r="M105" s="82" t="s">
        <v>66</v>
      </c>
      <c r="N105" s="83" t="s">
        <v>158</v>
      </c>
      <c r="O105" s="84"/>
      <c r="P105" s="82" t="s">
        <v>105</v>
      </c>
      <c r="Q105" s="83" t="s">
        <v>99</v>
      </c>
      <c r="R105" s="84"/>
      <c r="S105" s="84"/>
      <c r="T105" s="84" t="s">
        <v>1015</v>
      </c>
      <c r="U105" s="84" t="s">
        <v>1016</v>
      </c>
      <c r="V105" s="81" t="s">
        <v>41</v>
      </c>
    </row>
    <row r="106" spans="1:22" ht="12.75">
      <c r="A106" s="80" t="s">
        <v>223</v>
      </c>
      <c r="B106" s="51" t="s">
        <v>1017</v>
      </c>
      <c r="C106" s="81" t="s">
        <v>1314</v>
      </c>
      <c r="D106" s="81" t="s">
        <v>406</v>
      </c>
      <c r="E106" s="81" t="s">
        <v>1018</v>
      </c>
      <c r="F106" s="81" t="s">
        <v>1522</v>
      </c>
      <c r="G106" s="81" t="s">
        <v>1655</v>
      </c>
      <c r="H106" s="83" t="s">
        <v>124</v>
      </c>
      <c r="I106" s="83" t="s">
        <v>105</v>
      </c>
      <c r="J106" s="82" t="s">
        <v>105</v>
      </c>
      <c r="K106" s="84"/>
      <c r="L106" s="83" t="s">
        <v>64</v>
      </c>
      <c r="M106" s="82" t="s">
        <v>64</v>
      </c>
      <c r="N106" s="83" t="s">
        <v>65</v>
      </c>
      <c r="O106" s="84"/>
      <c r="P106" s="82" t="s">
        <v>121</v>
      </c>
      <c r="Q106" s="83" t="s">
        <v>170</v>
      </c>
      <c r="R106" s="84"/>
      <c r="S106" s="84"/>
      <c r="T106" s="84" t="s">
        <v>1019</v>
      </c>
      <c r="U106" s="84" t="s">
        <v>1020</v>
      </c>
      <c r="V106" s="81" t="s">
        <v>41</v>
      </c>
    </row>
    <row r="107" spans="1:22" ht="12.75">
      <c r="A107" s="80" t="s">
        <v>224</v>
      </c>
      <c r="B107" s="51" t="s">
        <v>1021</v>
      </c>
      <c r="C107" s="81" t="s">
        <v>1315</v>
      </c>
      <c r="D107" s="81" t="s">
        <v>1022</v>
      </c>
      <c r="E107" s="81" t="s">
        <v>1023</v>
      </c>
      <c r="F107" s="81" t="s">
        <v>1522</v>
      </c>
      <c r="G107" s="81" t="s">
        <v>1606</v>
      </c>
      <c r="H107" s="82" t="s">
        <v>124</v>
      </c>
      <c r="I107" s="82" t="s">
        <v>139</v>
      </c>
      <c r="J107" s="82" t="s">
        <v>121</v>
      </c>
      <c r="K107" s="84"/>
      <c r="L107" s="82" t="s">
        <v>28</v>
      </c>
      <c r="M107" s="82" t="s">
        <v>114</v>
      </c>
      <c r="N107" s="82" t="s">
        <v>29</v>
      </c>
      <c r="O107" s="84"/>
      <c r="P107" s="82" t="s">
        <v>125</v>
      </c>
      <c r="Q107" s="82" t="s">
        <v>135</v>
      </c>
      <c r="R107" s="83" t="s">
        <v>99</v>
      </c>
      <c r="S107" s="84"/>
      <c r="T107" s="84" t="s">
        <v>1024</v>
      </c>
      <c r="U107" s="84" t="s">
        <v>1025</v>
      </c>
      <c r="V107" s="81" t="s">
        <v>317</v>
      </c>
    </row>
    <row r="108" spans="1:22" ht="12.75">
      <c r="A108" s="80" t="s">
        <v>225</v>
      </c>
      <c r="B108" s="51" t="s">
        <v>1026</v>
      </c>
      <c r="C108" s="81" t="s">
        <v>1316</v>
      </c>
      <c r="D108" s="81" t="s">
        <v>554</v>
      </c>
      <c r="E108" s="81" t="s">
        <v>1010</v>
      </c>
      <c r="F108" s="81" t="s">
        <v>1522</v>
      </c>
      <c r="G108" s="81" t="s">
        <v>1648</v>
      </c>
      <c r="H108" s="83" t="s">
        <v>96</v>
      </c>
      <c r="I108" s="82" t="s">
        <v>96</v>
      </c>
      <c r="J108" s="83" t="s">
        <v>124</v>
      </c>
      <c r="K108" s="84"/>
      <c r="L108" s="82" t="s">
        <v>22</v>
      </c>
      <c r="M108" s="82" t="s">
        <v>23</v>
      </c>
      <c r="N108" s="83" t="s">
        <v>24</v>
      </c>
      <c r="O108" s="84"/>
      <c r="P108" s="82" t="s">
        <v>104</v>
      </c>
      <c r="Q108" s="82" t="s">
        <v>173</v>
      </c>
      <c r="R108" s="83" t="s">
        <v>125</v>
      </c>
      <c r="S108" s="84"/>
      <c r="T108" s="84" t="s">
        <v>1027</v>
      </c>
      <c r="U108" s="84" t="s">
        <v>1028</v>
      </c>
      <c r="V108" s="81" t="s">
        <v>1113</v>
      </c>
    </row>
    <row r="109" spans="1:22" ht="12.75">
      <c r="A109" s="80" t="s">
        <v>217</v>
      </c>
      <c r="B109" s="51" t="s">
        <v>1029</v>
      </c>
      <c r="C109" s="81" t="s">
        <v>1435</v>
      </c>
      <c r="D109" s="81" t="s">
        <v>1030</v>
      </c>
      <c r="E109" s="81" t="s">
        <v>1031</v>
      </c>
      <c r="F109" s="81" t="s">
        <v>1522</v>
      </c>
      <c r="G109" s="81" t="s">
        <v>1589</v>
      </c>
      <c r="H109" s="82" t="s">
        <v>173</v>
      </c>
      <c r="I109" s="83" t="s">
        <v>354</v>
      </c>
      <c r="J109" s="82" t="s">
        <v>354</v>
      </c>
      <c r="K109" s="84"/>
      <c r="L109" s="82" t="s">
        <v>30</v>
      </c>
      <c r="M109" s="83" t="s">
        <v>103</v>
      </c>
      <c r="N109" s="82" t="s">
        <v>103</v>
      </c>
      <c r="O109" s="84"/>
      <c r="P109" s="82" t="s">
        <v>121</v>
      </c>
      <c r="Q109" s="83" t="s">
        <v>170</v>
      </c>
      <c r="R109" s="83" t="s">
        <v>170</v>
      </c>
      <c r="S109" s="84"/>
      <c r="T109" s="84" t="s">
        <v>1024</v>
      </c>
      <c r="U109" s="84" t="s">
        <v>1033</v>
      </c>
      <c r="V109" s="81" t="s">
        <v>41</v>
      </c>
    </row>
    <row r="110" spans="1:22" ht="12.75">
      <c r="A110" s="85" t="s">
        <v>219</v>
      </c>
      <c r="B110" s="52" t="s">
        <v>1034</v>
      </c>
      <c r="C110" s="86" t="s">
        <v>1436</v>
      </c>
      <c r="D110" s="86" t="s">
        <v>1035</v>
      </c>
      <c r="E110" s="86" t="s">
        <v>1036</v>
      </c>
      <c r="F110" s="86" t="s">
        <v>1522</v>
      </c>
      <c r="G110" s="86" t="s">
        <v>1658</v>
      </c>
      <c r="H110" s="88" t="s">
        <v>13</v>
      </c>
      <c r="I110" s="88"/>
      <c r="J110" s="88"/>
      <c r="K110" s="88"/>
      <c r="L110" s="89"/>
      <c r="M110" s="89"/>
      <c r="N110" s="88"/>
      <c r="O110" s="88"/>
      <c r="P110" s="89"/>
      <c r="Q110" s="88"/>
      <c r="R110" s="88"/>
      <c r="S110" s="88"/>
      <c r="T110" s="88" t="s">
        <v>13</v>
      </c>
      <c r="U110" s="88" t="s">
        <v>972</v>
      </c>
      <c r="V110" s="86" t="s">
        <v>1037</v>
      </c>
    </row>
    <row r="111" spans="1:22" ht="12.75">
      <c r="A111" s="90"/>
      <c r="B111" s="90"/>
      <c r="C111" s="74"/>
      <c r="D111" s="74"/>
      <c r="E111" s="74"/>
      <c r="F111" s="74"/>
      <c r="G111" s="74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74"/>
    </row>
    <row r="112" spans="1:22" ht="15">
      <c r="A112" s="128" t="s">
        <v>1159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74"/>
    </row>
    <row r="113" spans="1:22" ht="12.75">
      <c r="A113" s="75" t="s">
        <v>217</v>
      </c>
      <c r="B113" s="50" t="s">
        <v>1038</v>
      </c>
      <c r="C113" s="76" t="s">
        <v>1507</v>
      </c>
      <c r="D113" s="76" t="s">
        <v>1039</v>
      </c>
      <c r="E113" s="76" t="s">
        <v>1040</v>
      </c>
      <c r="F113" s="76" t="s">
        <v>1681</v>
      </c>
      <c r="G113" s="76" t="s">
        <v>1116</v>
      </c>
      <c r="H113" s="79" t="s">
        <v>105</v>
      </c>
      <c r="I113" s="77" t="s">
        <v>105</v>
      </c>
      <c r="J113" s="79" t="s">
        <v>401</v>
      </c>
      <c r="K113" s="78"/>
      <c r="L113" s="77" t="s">
        <v>64</v>
      </c>
      <c r="M113" s="77" t="s">
        <v>367</v>
      </c>
      <c r="N113" s="77" t="s">
        <v>66</v>
      </c>
      <c r="O113" s="78"/>
      <c r="P113" s="77" t="s">
        <v>121</v>
      </c>
      <c r="Q113" s="77" t="s">
        <v>164</v>
      </c>
      <c r="R113" s="79" t="s">
        <v>157</v>
      </c>
      <c r="S113" s="78"/>
      <c r="T113" s="78" t="s">
        <v>1041</v>
      </c>
      <c r="U113" s="78" t="s">
        <v>1042</v>
      </c>
      <c r="V113" s="76" t="s">
        <v>1043</v>
      </c>
    </row>
    <row r="114" spans="1:22" ht="12.75">
      <c r="A114" s="80" t="s">
        <v>217</v>
      </c>
      <c r="B114" s="51" t="s">
        <v>1044</v>
      </c>
      <c r="C114" s="81" t="s">
        <v>1317</v>
      </c>
      <c r="D114" s="81" t="s">
        <v>1045</v>
      </c>
      <c r="E114" s="81" t="s">
        <v>1046</v>
      </c>
      <c r="F114" s="81" t="s">
        <v>888</v>
      </c>
      <c r="G114" s="81" t="s">
        <v>1642</v>
      </c>
      <c r="H114" s="82" t="s">
        <v>437</v>
      </c>
      <c r="I114" s="82" t="s">
        <v>438</v>
      </c>
      <c r="J114" s="83" t="s">
        <v>1047</v>
      </c>
      <c r="K114" s="84"/>
      <c r="L114" s="82" t="s">
        <v>18</v>
      </c>
      <c r="M114" s="82" t="s">
        <v>76</v>
      </c>
      <c r="N114" s="83" t="s">
        <v>70</v>
      </c>
      <c r="O114" s="84"/>
      <c r="P114" s="83" t="s">
        <v>164</v>
      </c>
      <c r="Q114" s="82" t="s">
        <v>164</v>
      </c>
      <c r="R114" s="82" t="s">
        <v>162</v>
      </c>
      <c r="S114" s="84"/>
      <c r="T114" s="84" t="s">
        <v>1048</v>
      </c>
      <c r="U114" s="84" t="s">
        <v>1049</v>
      </c>
      <c r="V114" s="81" t="s">
        <v>541</v>
      </c>
    </row>
    <row r="115" spans="1:22" ht="12.75">
      <c r="A115" s="80" t="s">
        <v>220</v>
      </c>
      <c r="B115" s="51" t="s">
        <v>1050</v>
      </c>
      <c r="C115" s="81" t="s">
        <v>1318</v>
      </c>
      <c r="D115" s="81" t="s">
        <v>189</v>
      </c>
      <c r="E115" s="81" t="s">
        <v>1051</v>
      </c>
      <c r="F115" s="81" t="s">
        <v>1522</v>
      </c>
      <c r="G115" s="81" t="s">
        <v>1659</v>
      </c>
      <c r="H115" s="82" t="s">
        <v>164</v>
      </c>
      <c r="I115" s="82" t="s">
        <v>161</v>
      </c>
      <c r="J115" s="82" t="s">
        <v>637</v>
      </c>
      <c r="K115" s="84"/>
      <c r="L115" s="82" t="s">
        <v>65</v>
      </c>
      <c r="M115" s="82" t="s">
        <v>307</v>
      </c>
      <c r="N115" s="83" t="s">
        <v>62</v>
      </c>
      <c r="O115" s="84"/>
      <c r="P115" s="82" t="s">
        <v>164</v>
      </c>
      <c r="Q115" s="82" t="s">
        <v>161</v>
      </c>
      <c r="R115" s="82" t="s">
        <v>998</v>
      </c>
      <c r="S115" s="84"/>
      <c r="T115" s="84" t="s">
        <v>1048</v>
      </c>
      <c r="U115" s="84" t="s">
        <v>1052</v>
      </c>
      <c r="V115" s="81" t="s">
        <v>1114</v>
      </c>
    </row>
    <row r="116" spans="1:22" ht="12.75">
      <c r="A116" s="80" t="s">
        <v>221</v>
      </c>
      <c r="B116" s="51" t="s">
        <v>1053</v>
      </c>
      <c r="C116" s="81" t="s">
        <v>1319</v>
      </c>
      <c r="D116" s="81" t="s">
        <v>1054</v>
      </c>
      <c r="E116" s="81" t="s">
        <v>1055</v>
      </c>
      <c r="F116" s="81" t="s">
        <v>1681</v>
      </c>
      <c r="G116" s="81" t="s">
        <v>1117</v>
      </c>
      <c r="H116" s="82" t="s">
        <v>157</v>
      </c>
      <c r="I116" s="82" t="s">
        <v>162</v>
      </c>
      <c r="J116" s="82" t="s">
        <v>608</v>
      </c>
      <c r="K116" s="84"/>
      <c r="L116" s="82" t="s">
        <v>70</v>
      </c>
      <c r="M116" s="82" t="s">
        <v>190</v>
      </c>
      <c r="N116" s="82" t="s">
        <v>65</v>
      </c>
      <c r="O116" s="84"/>
      <c r="P116" s="82" t="s">
        <v>170</v>
      </c>
      <c r="Q116" s="82" t="s">
        <v>156</v>
      </c>
      <c r="R116" s="83" t="s">
        <v>157</v>
      </c>
      <c r="S116" s="84"/>
      <c r="T116" s="84" t="s">
        <v>1056</v>
      </c>
      <c r="U116" s="84" t="s">
        <v>1057</v>
      </c>
      <c r="V116" s="81" t="s">
        <v>1058</v>
      </c>
    </row>
    <row r="117" spans="1:22" ht="12.75">
      <c r="A117" s="80" t="s">
        <v>222</v>
      </c>
      <c r="B117" s="51" t="s">
        <v>1059</v>
      </c>
      <c r="C117" s="81" t="s">
        <v>1320</v>
      </c>
      <c r="D117" s="81" t="s">
        <v>1060</v>
      </c>
      <c r="E117" s="81" t="s">
        <v>1061</v>
      </c>
      <c r="F117" s="81" t="s">
        <v>1522</v>
      </c>
      <c r="G117" s="81" t="s">
        <v>1567</v>
      </c>
      <c r="H117" s="82" t="s">
        <v>105</v>
      </c>
      <c r="I117" s="82" t="s">
        <v>135</v>
      </c>
      <c r="J117" s="84"/>
      <c r="K117" s="84"/>
      <c r="L117" s="82" t="s">
        <v>18</v>
      </c>
      <c r="M117" s="82" t="s">
        <v>76</v>
      </c>
      <c r="N117" s="83" t="s">
        <v>70</v>
      </c>
      <c r="O117" s="84"/>
      <c r="P117" s="83" t="s">
        <v>124</v>
      </c>
      <c r="Q117" s="82" t="s">
        <v>124</v>
      </c>
      <c r="R117" s="83" t="s">
        <v>135</v>
      </c>
      <c r="S117" s="84"/>
      <c r="T117" s="84" t="s">
        <v>1062</v>
      </c>
      <c r="U117" s="84" t="s">
        <v>1063</v>
      </c>
      <c r="V117" s="81" t="s">
        <v>41</v>
      </c>
    </row>
    <row r="118" spans="1:22" ht="12.75">
      <c r="A118" s="80" t="s">
        <v>223</v>
      </c>
      <c r="B118" s="51" t="s">
        <v>1064</v>
      </c>
      <c r="C118" s="81" t="s">
        <v>1321</v>
      </c>
      <c r="D118" s="81" t="s">
        <v>1065</v>
      </c>
      <c r="E118" s="81" t="s">
        <v>1066</v>
      </c>
      <c r="F118" s="81" t="s">
        <v>1522</v>
      </c>
      <c r="G118" s="81" t="s">
        <v>1567</v>
      </c>
      <c r="H118" s="82" t="s">
        <v>66</v>
      </c>
      <c r="I118" s="82" t="s">
        <v>83</v>
      </c>
      <c r="J118" s="83" t="s">
        <v>104</v>
      </c>
      <c r="K118" s="84"/>
      <c r="L118" s="82" t="s">
        <v>35</v>
      </c>
      <c r="M118" s="82" t="s">
        <v>30</v>
      </c>
      <c r="N118" s="82" t="s">
        <v>17</v>
      </c>
      <c r="O118" s="84"/>
      <c r="P118" s="83" t="s">
        <v>63</v>
      </c>
      <c r="Q118" s="83" t="s">
        <v>83</v>
      </c>
      <c r="R118" s="82" t="s">
        <v>104</v>
      </c>
      <c r="S118" s="84"/>
      <c r="T118" s="84" t="s">
        <v>1067</v>
      </c>
      <c r="U118" s="84" t="s">
        <v>1068</v>
      </c>
      <c r="V118" s="81" t="s">
        <v>1069</v>
      </c>
    </row>
    <row r="119" spans="1:22" ht="12.75">
      <c r="A119" s="80" t="s">
        <v>219</v>
      </c>
      <c r="B119" s="51" t="s">
        <v>1070</v>
      </c>
      <c r="C119" s="81" t="s">
        <v>1322</v>
      </c>
      <c r="D119" s="81" t="s">
        <v>421</v>
      </c>
      <c r="E119" s="81" t="s">
        <v>1071</v>
      </c>
      <c r="F119" s="81" t="s">
        <v>1522</v>
      </c>
      <c r="G119" s="81" t="s">
        <v>1528</v>
      </c>
      <c r="H119" s="83" t="s">
        <v>170</v>
      </c>
      <c r="I119" s="83" t="s">
        <v>170</v>
      </c>
      <c r="J119" s="83" t="s">
        <v>170</v>
      </c>
      <c r="K119" s="84"/>
      <c r="L119" s="83"/>
      <c r="M119" s="84"/>
      <c r="N119" s="84"/>
      <c r="O119" s="84"/>
      <c r="P119" s="83"/>
      <c r="Q119" s="84"/>
      <c r="R119" s="84"/>
      <c r="S119" s="84"/>
      <c r="T119" s="84" t="s">
        <v>13</v>
      </c>
      <c r="U119" s="84" t="s">
        <v>972</v>
      </c>
      <c r="V119" s="81" t="s">
        <v>41</v>
      </c>
    </row>
    <row r="120" spans="1:22" ht="12.75">
      <c r="A120" s="80" t="s">
        <v>219</v>
      </c>
      <c r="B120" s="51" t="s">
        <v>1072</v>
      </c>
      <c r="C120" s="81" t="s">
        <v>1323</v>
      </c>
      <c r="D120" s="81" t="s">
        <v>1073</v>
      </c>
      <c r="E120" s="81" t="s">
        <v>1074</v>
      </c>
      <c r="F120" s="81" t="s">
        <v>1522</v>
      </c>
      <c r="G120" s="81" t="s">
        <v>1660</v>
      </c>
      <c r="H120" s="83" t="s">
        <v>164</v>
      </c>
      <c r="I120" s="83" t="s">
        <v>156</v>
      </c>
      <c r="J120" s="83" t="s">
        <v>156</v>
      </c>
      <c r="K120" s="84"/>
      <c r="L120" s="83"/>
      <c r="M120" s="84"/>
      <c r="N120" s="84"/>
      <c r="O120" s="84"/>
      <c r="P120" s="83"/>
      <c r="Q120" s="84"/>
      <c r="R120" s="84"/>
      <c r="S120" s="84"/>
      <c r="T120" s="84" t="s">
        <v>13</v>
      </c>
      <c r="U120" s="84" t="s">
        <v>972</v>
      </c>
      <c r="V120" s="81" t="s">
        <v>1075</v>
      </c>
    </row>
    <row r="121" spans="1:22" ht="12.75">
      <c r="A121" s="80" t="s">
        <v>217</v>
      </c>
      <c r="B121" s="51" t="s">
        <v>1050</v>
      </c>
      <c r="C121" s="81" t="s">
        <v>1437</v>
      </c>
      <c r="D121" s="81" t="s">
        <v>189</v>
      </c>
      <c r="E121" s="81" t="s">
        <v>1051</v>
      </c>
      <c r="F121" s="81" t="s">
        <v>1522</v>
      </c>
      <c r="G121" s="81" t="s">
        <v>1659</v>
      </c>
      <c r="H121" s="82" t="s">
        <v>164</v>
      </c>
      <c r="I121" s="82" t="s">
        <v>161</v>
      </c>
      <c r="J121" s="82" t="s">
        <v>637</v>
      </c>
      <c r="K121" s="84"/>
      <c r="L121" s="82" t="s">
        <v>65</v>
      </c>
      <c r="M121" s="82" t="s">
        <v>307</v>
      </c>
      <c r="N121" s="83" t="s">
        <v>62</v>
      </c>
      <c r="O121" s="84"/>
      <c r="P121" s="82" t="s">
        <v>164</v>
      </c>
      <c r="Q121" s="82" t="s">
        <v>161</v>
      </c>
      <c r="R121" s="82" t="s">
        <v>998</v>
      </c>
      <c r="S121" s="84"/>
      <c r="T121" s="84" t="s">
        <v>1048</v>
      </c>
      <c r="U121" s="84" t="s">
        <v>1076</v>
      </c>
      <c r="V121" s="81" t="s">
        <v>1114</v>
      </c>
    </row>
    <row r="122" spans="1:22" ht="12.75">
      <c r="A122" s="80" t="s">
        <v>220</v>
      </c>
      <c r="B122" s="51" t="s">
        <v>1077</v>
      </c>
      <c r="C122" s="81" t="s">
        <v>1438</v>
      </c>
      <c r="D122" s="81" t="s">
        <v>1078</v>
      </c>
      <c r="E122" s="81" t="s">
        <v>1079</v>
      </c>
      <c r="F122" s="81" t="s">
        <v>1522</v>
      </c>
      <c r="G122" s="81" t="s">
        <v>1661</v>
      </c>
      <c r="H122" s="82" t="s">
        <v>84</v>
      </c>
      <c r="I122" s="82" t="s">
        <v>345</v>
      </c>
      <c r="J122" s="83" t="s">
        <v>96</v>
      </c>
      <c r="K122" s="84"/>
      <c r="L122" s="82" t="s">
        <v>55</v>
      </c>
      <c r="M122" s="82" t="s">
        <v>72</v>
      </c>
      <c r="N122" s="83" t="s">
        <v>163</v>
      </c>
      <c r="O122" s="84"/>
      <c r="P122" s="82" t="s">
        <v>83</v>
      </c>
      <c r="Q122" s="82" t="s">
        <v>120</v>
      </c>
      <c r="R122" s="82" t="s">
        <v>173</v>
      </c>
      <c r="S122" s="84"/>
      <c r="T122" s="84" t="s">
        <v>1080</v>
      </c>
      <c r="U122" s="84" t="s">
        <v>1081</v>
      </c>
      <c r="V122" s="81" t="s">
        <v>41</v>
      </c>
    </row>
    <row r="123" spans="1:22" ht="12.75">
      <c r="A123" s="85" t="s">
        <v>217</v>
      </c>
      <c r="B123" s="52" t="s">
        <v>1082</v>
      </c>
      <c r="C123" s="86" t="s">
        <v>1439</v>
      </c>
      <c r="D123" s="86" t="s">
        <v>1078</v>
      </c>
      <c r="E123" s="86" t="s">
        <v>1079</v>
      </c>
      <c r="F123" s="86" t="s">
        <v>1522</v>
      </c>
      <c r="G123" s="86" t="s">
        <v>1567</v>
      </c>
      <c r="H123" s="89" t="s">
        <v>65</v>
      </c>
      <c r="I123" s="87" t="s">
        <v>65</v>
      </c>
      <c r="J123" s="87" t="s">
        <v>66</v>
      </c>
      <c r="K123" s="88"/>
      <c r="L123" s="87" t="s">
        <v>17</v>
      </c>
      <c r="M123" s="87" t="s">
        <v>23</v>
      </c>
      <c r="N123" s="87" t="s">
        <v>18</v>
      </c>
      <c r="O123" s="88"/>
      <c r="P123" s="87" t="s">
        <v>65</v>
      </c>
      <c r="Q123" s="89" t="s">
        <v>84</v>
      </c>
      <c r="R123" s="88"/>
      <c r="S123" s="88"/>
      <c r="T123" s="88" t="s">
        <v>1083</v>
      </c>
      <c r="U123" s="88" t="s">
        <v>1084</v>
      </c>
      <c r="V123" s="86" t="s">
        <v>1115</v>
      </c>
    </row>
    <row r="124" spans="1:22" ht="12.75">
      <c r="A124" s="90"/>
      <c r="B124" s="90"/>
      <c r="C124" s="74"/>
      <c r="D124" s="74"/>
      <c r="E124" s="74"/>
      <c r="F124" s="74"/>
      <c r="G124" s="74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74"/>
    </row>
    <row r="125" spans="1:22" ht="15">
      <c r="A125" s="128" t="s">
        <v>1160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74"/>
    </row>
    <row r="126" spans="1:22" ht="12.75">
      <c r="A126" s="75" t="s">
        <v>217</v>
      </c>
      <c r="B126" s="50" t="s">
        <v>1085</v>
      </c>
      <c r="C126" s="76" t="s">
        <v>1508</v>
      </c>
      <c r="D126" s="76" t="s">
        <v>1086</v>
      </c>
      <c r="E126" s="76" t="s">
        <v>1087</v>
      </c>
      <c r="F126" s="76" t="s">
        <v>1701</v>
      </c>
      <c r="G126" s="76" t="s">
        <v>1702</v>
      </c>
      <c r="H126" s="77" t="s">
        <v>173</v>
      </c>
      <c r="I126" s="77" t="s">
        <v>121</v>
      </c>
      <c r="J126" s="79" t="s">
        <v>170</v>
      </c>
      <c r="K126" s="78"/>
      <c r="L126" s="77" t="s">
        <v>64</v>
      </c>
      <c r="M126" s="77" t="s">
        <v>91</v>
      </c>
      <c r="N126" s="79" t="s">
        <v>307</v>
      </c>
      <c r="O126" s="78"/>
      <c r="P126" s="77" t="s">
        <v>135</v>
      </c>
      <c r="Q126" s="77" t="s">
        <v>164</v>
      </c>
      <c r="R126" s="79" t="s">
        <v>157</v>
      </c>
      <c r="S126" s="78"/>
      <c r="T126" s="78" t="s">
        <v>1088</v>
      </c>
      <c r="U126" s="78" t="s">
        <v>1089</v>
      </c>
      <c r="V126" s="76" t="s">
        <v>41</v>
      </c>
    </row>
    <row r="127" spans="1:22" ht="12.75">
      <c r="A127" s="80" t="s">
        <v>217</v>
      </c>
      <c r="B127" s="51" t="s">
        <v>1090</v>
      </c>
      <c r="C127" s="81" t="s">
        <v>1324</v>
      </c>
      <c r="D127" s="81" t="s">
        <v>1091</v>
      </c>
      <c r="E127" s="81" t="s">
        <v>1092</v>
      </c>
      <c r="F127" s="81" t="s">
        <v>1522</v>
      </c>
      <c r="G127" s="81" t="s">
        <v>1032</v>
      </c>
      <c r="H127" s="83" t="s">
        <v>1093</v>
      </c>
      <c r="I127" s="83" t="s">
        <v>1093</v>
      </c>
      <c r="J127" s="82" t="s">
        <v>1093</v>
      </c>
      <c r="K127" s="84"/>
      <c r="L127" s="82" t="s">
        <v>104</v>
      </c>
      <c r="M127" s="82" t="s">
        <v>124</v>
      </c>
      <c r="N127" s="82" t="s">
        <v>105</v>
      </c>
      <c r="O127" s="84"/>
      <c r="P127" s="82" t="s">
        <v>161</v>
      </c>
      <c r="Q127" s="82" t="s">
        <v>642</v>
      </c>
      <c r="R127" s="83" t="s">
        <v>692</v>
      </c>
      <c r="S127" s="84"/>
      <c r="T127" s="84" t="s">
        <v>1094</v>
      </c>
      <c r="U127" s="84" t="s">
        <v>1095</v>
      </c>
      <c r="V127" s="81" t="s">
        <v>41</v>
      </c>
    </row>
    <row r="128" spans="1:22" ht="12.75">
      <c r="A128" s="80" t="s">
        <v>220</v>
      </c>
      <c r="B128" s="51" t="s">
        <v>1096</v>
      </c>
      <c r="C128" s="81" t="s">
        <v>1325</v>
      </c>
      <c r="D128" s="81" t="s">
        <v>1097</v>
      </c>
      <c r="E128" s="81" t="s">
        <v>1098</v>
      </c>
      <c r="F128" s="81" t="s">
        <v>1522</v>
      </c>
      <c r="G128" s="81" t="s">
        <v>1099</v>
      </c>
      <c r="H128" s="82" t="s">
        <v>1100</v>
      </c>
      <c r="I128" s="82" t="s">
        <v>442</v>
      </c>
      <c r="J128" s="82" t="s">
        <v>437</v>
      </c>
      <c r="K128" s="84"/>
      <c r="L128" s="82" t="s">
        <v>190</v>
      </c>
      <c r="M128" s="83" t="s">
        <v>367</v>
      </c>
      <c r="N128" s="82" t="s">
        <v>307</v>
      </c>
      <c r="O128" s="84"/>
      <c r="P128" s="82" t="s">
        <v>156</v>
      </c>
      <c r="Q128" s="82" t="s">
        <v>666</v>
      </c>
      <c r="R128" s="82" t="s">
        <v>165</v>
      </c>
      <c r="S128" s="84"/>
      <c r="T128" s="84" t="s">
        <v>1101</v>
      </c>
      <c r="U128" s="84" t="s">
        <v>1102</v>
      </c>
      <c r="V128" s="81" t="s">
        <v>41</v>
      </c>
    </row>
    <row r="129" spans="1:22" ht="12.75">
      <c r="A129" s="80" t="s">
        <v>221</v>
      </c>
      <c r="B129" s="51" t="s">
        <v>1085</v>
      </c>
      <c r="C129" s="81" t="s">
        <v>1326</v>
      </c>
      <c r="D129" s="81" t="s">
        <v>1086</v>
      </c>
      <c r="E129" s="81" t="s">
        <v>1087</v>
      </c>
      <c r="F129" s="81" t="s">
        <v>1701</v>
      </c>
      <c r="G129" s="81" t="s">
        <v>1702</v>
      </c>
      <c r="H129" s="82" t="s">
        <v>173</v>
      </c>
      <c r="I129" s="82" t="s">
        <v>121</v>
      </c>
      <c r="J129" s="83" t="s">
        <v>170</v>
      </c>
      <c r="K129" s="84"/>
      <c r="L129" s="82" t="s">
        <v>64</v>
      </c>
      <c r="M129" s="82" t="s">
        <v>91</v>
      </c>
      <c r="N129" s="83" t="s">
        <v>307</v>
      </c>
      <c r="O129" s="84"/>
      <c r="P129" s="82" t="s">
        <v>135</v>
      </c>
      <c r="Q129" s="82" t="s">
        <v>164</v>
      </c>
      <c r="R129" s="83" t="s">
        <v>157</v>
      </c>
      <c r="S129" s="84"/>
      <c r="T129" s="84" t="s">
        <v>1088</v>
      </c>
      <c r="U129" s="84" t="s">
        <v>1089</v>
      </c>
      <c r="V129" s="81" t="s">
        <v>41</v>
      </c>
    </row>
    <row r="130" spans="1:22" ht="12.75">
      <c r="A130" s="85" t="s">
        <v>217</v>
      </c>
      <c r="B130" s="52" t="s">
        <v>1096</v>
      </c>
      <c r="C130" s="86" t="s">
        <v>1440</v>
      </c>
      <c r="D130" s="86" t="s">
        <v>1097</v>
      </c>
      <c r="E130" s="86" t="s">
        <v>1098</v>
      </c>
      <c r="F130" s="86" t="s">
        <v>1542</v>
      </c>
      <c r="G130" s="86" t="s">
        <v>1546</v>
      </c>
      <c r="H130" s="87" t="s">
        <v>1100</v>
      </c>
      <c r="I130" s="87" t="s">
        <v>442</v>
      </c>
      <c r="J130" s="87" t="s">
        <v>437</v>
      </c>
      <c r="K130" s="88"/>
      <c r="L130" s="87" t="s">
        <v>190</v>
      </c>
      <c r="M130" s="89" t="s">
        <v>367</v>
      </c>
      <c r="N130" s="87" t="s">
        <v>307</v>
      </c>
      <c r="O130" s="88"/>
      <c r="P130" s="87" t="s">
        <v>156</v>
      </c>
      <c r="Q130" s="87" t="s">
        <v>666</v>
      </c>
      <c r="R130" s="87" t="s">
        <v>165</v>
      </c>
      <c r="S130" s="88"/>
      <c r="T130" s="88" t="s">
        <v>1101</v>
      </c>
      <c r="U130" s="88" t="s">
        <v>1103</v>
      </c>
      <c r="V130" s="86" t="s">
        <v>41</v>
      </c>
    </row>
    <row r="131" spans="1:22" ht="12.75">
      <c r="A131" s="90"/>
      <c r="B131" s="90"/>
      <c r="C131" s="74"/>
      <c r="D131" s="74"/>
      <c r="E131" s="74"/>
      <c r="F131" s="74"/>
      <c r="G131" s="74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74"/>
    </row>
    <row r="132" spans="1:22" ht="15">
      <c r="A132" s="128" t="s">
        <v>1161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74"/>
    </row>
    <row r="133" spans="1:22" ht="12.75">
      <c r="A133" s="91" t="s">
        <v>217</v>
      </c>
      <c r="B133" s="102" t="s">
        <v>191</v>
      </c>
      <c r="C133" s="92" t="s">
        <v>1441</v>
      </c>
      <c r="D133" s="92" t="s">
        <v>192</v>
      </c>
      <c r="E133" s="92" t="s">
        <v>1104</v>
      </c>
      <c r="F133" s="92" t="s">
        <v>1556</v>
      </c>
      <c r="G133" s="92" t="s">
        <v>1560</v>
      </c>
      <c r="H133" s="93" t="s">
        <v>35</v>
      </c>
      <c r="I133" s="94" t="s">
        <v>35</v>
      </c>
      <c r="J133" s="95"/>
      <c r="K133" s="95"/>
      <c r="L133" s="94" t="s">
        <v>21</v>
      </c>
      <c r="M133" s="95"/>
      <c r="N133" s="95"/>
      <c r="O133" s="95"/>
      <c r="P133" s="94" t="s">
        <v>35</v>
      </c>
      <c r="Q133" s="93" t="s">
        <v>65</v>
      </c>
      <c r="R133" s="95"/>
      <c r="S133" s="95"/>
      <c r="T133" s="95" t="s">
        <v>1093</v>
      </c>
      <c r="U133" s="95" t="s">
        <v>1105</v>
      </c>
      <c r="V133" s="92" t="s">
        <v>390</v>
      </c>
    </row>
    <row r="134" spans="1:22" ht="12.75">
      <c r="A134" s="90"/>
      <c r="B134" s="90"/>
      <c r="C134" s="74"/>
      <c r="D134" s="74"/>
      <c r="E134" s="74"/>
      <c r="F134" s="74"/>
      <c r="G134" s="74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74"/>
    </row>
    <row r="135" spans="1:22" ht="12.75">
      <c r="A135" s="90"/>
      <c r="B135" s="90"/>
      <c r="C135" s="74"/>
      <c r="D135" s="74"/>
      <c r="E135" s="74"/>
      <c r="F135" s="74"/>
      <c r="G135" s="74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74"/>
    </row>
    <row r="136" spans="1:22" ht="18">
      <c r="A136" s="90"/>
      <c r="B136" s="96" t="s">
        <v>1689</v>
      </c>
      <c r="C136" s="96"/>
      <c r="D136" s="74"/>
      <c r="E136" s="74"/>
      <c r="F136" s="74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74"/>
    </row>
    <row r="137" spans="1:22" ht="15">
      <c r="A137" s="90"/>
      <c r="B137" s="97" t="s">
        <v>1697</v>
      </c>
      <c r="C137" s="97"/>
      <c r="D137" s="74"/>
      <c r="E137" s="74"/>
      <c r="F137" s="74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74"/>
    </row>
    <row r="138" spans="1:22" ht="14.25">
      <c r="A138" s="90"/>
      <c r="B138" s="98"/>
      <c r="C138" s="99" t="s">
        <v>1378</v>
      </c>
      <c r="D138" s="74"/>
      <c r="E138" s="74"/>
      <c r="F138" s="74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74"/>
    </row>
    <row r="139" spans="1:22" ht="15">
      <c r="A139" s="90"/>
      <c r="B139" s="100" t="s">
        <v>1134</v>
      </c>
      <c r="C139" s="101" t="s">
        <v>1135</v>
      </c>
      <c r="D139" s="101" t="s">
        <v>1711</v>
      </c>
      <c r="E139" s="101" t="s">
        <v>1145</v>
      </c>
      <c r="F139" s="101" t="s">
        <v>193</v>
      </c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74"/>
    </row>
    <row r="140" spans="1:22" ht="12.75">
      <c r="A140" s="90"/>
      <c r="B140" s="90" t="s">
        <v>68</v>
      </c>
      <c r="C140" s="74" t="s">
        <v>1378</v>
      </c>
      <c r="D140" s="90" t="s">
        <v>46</v>
      </c>
      <c r="E140" s="90" t="s">
        <v>194</v>
      </c>
      <c r="F140" s="90" t="s">
        <v>195</v>
      </c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74"/>
    </row>
    <row r="141" spans="1:22" ht="12.75">
      <c r="A141" s="90"/>
      <c r="B141" s="90" t="s">
        <v>26</v>
      </c>
      <c r="C141" s="74" t="s">
        <v>1378</v>
      </c>
      <c r="D141" s="90" t="s">
        <v>54</v>
      </c>
      <c r="E141" s="90" t="s">
        <v>161</v>
      </c>
      <c r="F141" s="90" t="s">
        <v>196</v>
      </c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74"/>
    </row>
    <row r="142" spans="1:22" ht="12.75">
      <c r="A142" s="90"/>
      <c r="B142" s="90" t="s">
        <v>1</v>
      </c>
      <c r="C142" s="74" t="s">
        <v>1378</v>
      </c>
      <c r="D142" s="90" t="s">
        <v>197</v>
      </c>
      <c r="E142" s="90" t="s">
        <v>64</v>
      </c>
      <c r="F142" s="90" t="s">
        <v>198</v>
      </c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74"/>
    </row>
    <row r="143" spans="1:22" ht="12.75">
      <c r="A143" s="90"/>
      <c r="B143" s="90"/>
      <c r="C143" s="74"/>
      <c r="D143" s="74"/>
      <c r="E143" s="74"/>
      <c r="F143" s="74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74"/>
    </row>
    <row r="144" spans="1:22" ht="14.25">
      <c r="A144" s="90"/>
      <c r="B144" s="98"/>
      <c r="C144" s="99" t="s">
        <v>1193</v>
      </c>
      <c r="D144" s="74"/>
      <c r="E144" s="74"/>
      <c r="F144" s="74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74"/>
    </row>
    <row r="145" spans="1:22" ht="15">
      <c r="A145" s="90"/>
      <c r="B145" s="100" t="s">
        <v>1134</v>
      </c>
      <c r="C145" s="101" t="s">
        <v>1135</v>
      </c>
      <c r="D145" s="101" t="s">
        <v>1711</v>
      </c>
      <c r="E145" s="101" t="s">
        <v>1145</v>
      </c>
      <c r="F145" s="101" t="s">
        <v>193</v>
      </c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74"/>
    </row>
    <row r="146" spans="1:22" ht="12.75">
      <c r="A146" s="90"/>
      <c r="B146" s="90" t="s">
        <v>59</v>
      </c>
      <c r="C146" s="74" t="s">
        <v>1193</v>
      </c>
      <c r="D146" s="90" t="s">
        <v>58</v>
      </c>
      <c r="E146" s="90" t="s">
        <v>199</v>
      </c>
      <c r="F146" s="90" t="s">
        <v>200</v>
      </c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74"/>
    </row>
    <row r="147" spans="1:22" ht="12.75">
      <c r="A147" s="90"/>
      <c r="B147" s="90" t="s">
        <v>15</v>
      </c>
      <c r="C147" s="74" t="s">
        <v>1193</v>
      </c>
      <c r="D147" s="90" t="s">
        <v>53</v>
      </c>
      <c r="E147" s="90" t="s">
        <v>201</v>
      </c>
      <c r="F147" s="90" t="s">
        <v>202</v>
      </c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74"/>
    </row>
    <row r="148" spans="1:22" ht="12.75">
      <c r="A148" s="90"/>
      <c r="B148" s="90" t="s">
        <v>37</v>
      </c>
      <c r="C148" s="74" t="s">
        <v>1193</v>
      </c>
      <c r="D148" s="90" t="s">
        <v>54</v>
      </c>
      <c r="E148" s="90" t="s">
        <v>203</v>
      </c>
      <c r="F148" s="90" t="s">
        <v>204</v>
      </c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74"/>
    </row>
    <row r="149" spans="1:22" ht="12.75">
      <c r="A149" s="90"/>
      <c r="B149" s="90"/>
      <c r="C149" s="74"/>
      <c r="D149" s="74"/>
      <c r="E149" s="74"/>
      <c r="F149" s="74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74"/>
    </row>
    <row r="150" spans="1:22" ht="12.75">
      <c r="A150" s="90"/>
      <c r="B150" s="90"/>
      <c r="C150" s="74"/>
      <c r="D150" s="74"/>
      <c r="E150" s="74"/>
      <c r="F150" s="74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74"/>
    </row>
    <row r="151" spans="1:22" ht="15">
      <c r="A151" s="90"/>
      <c r="B151" s="97" t="s">
        <v>1690</v>
      </c>
      <c r="C151" s="97"/>
      <c r="D151" s="74"/>
      <c r="E151" s="74"/>
      <c r="F151" s="74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74"/>
    </row>
    <row r="152" spans="1:22" ht="14.25">
      <c r="A152" s="90"/>
      <c r="B152" s="98"/>
      <c r="C152" s="99" t="s">
        <v>1368</v>
      </c>
      <c r="D152" s="74"/>
      <c r="E152" s="74"/>
      <c r="F152" s="74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74"/>
    </row>
    <row r="153" spans="1:22" ht="15">
      <c r="A153" s="90"/>
      <c r="B153" s="100" t="s">
        <v>1134</v>
      </c>
      <c r="C153" s="101" t="s">
        <v>1135</v>
      </c>
      <c r="D153" s="101" t="s">
        <v>1711</v>
      </c>
      <c r="E153" s="101" t="s">
        <v>1145</v>
      </c>
      <c r="F153" s="101" t="s">
        <v>193</v>
      </c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74"/>
    </row>
    <row r="154" spans="1:22" ht="12.75">
      <c r="A154" s="90"/>
      <c r="B154" s="90" t="s">
        <v>117</v>
      </c>
      <c r="C154" s="74" t="s">
        <v>1468</v>
      </c>
      <c r="D154" s="90" t="s">
        <v>46</v>
      </c>
      <c r="E154" s="90" t="s">
        <v>205</v>
      </c>
      <c r="F154" s="90" t="s">
        <v>206</v>
      </c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74"/>
    </row>
    <row r="155" spans="1:22" ht="12.75">
      <c r="A155" s="90"/>
      <c r="B155" s="90" t="s">
        <v>145</v>
      </c>
      <c r="C155" s="74" t="s">
        <v>1468</v>
      </c>
      <c r="D155" s="90" t="s">
        <v>8</v>
      </c>
      <c r="E155" s="90" t="s">
        <v>207</v>
      </c>
      <c r="F155" s="90" t="s">
        <v>208</v>
      </c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74"/>
    </row>
    <row r="156" spans="1:22" ht="12.75">
      <c r="A156" s="90"/>
      <c r="B156" s="90" t="s">
        <v>147</v>
      </c>
      <c r="C156" s="74" t="s">
        <v>1468</v>
      </c>
      <c r="D156" s="90" t="s">
        <v>8</v>
      </c>
      <c r="E156" s="90" t="s">
        <v>209</v>
      </c>
      <c r="F156" s="90" t="s">
        <v>210</v>
      </c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74"/>
    </row>
    <row r="157" spans="1:22" ht="12.75">
      <c r="A157" s="90"/>
      <c r="B157" s="90"/>
      <c r="C157" s="74"/>
      <c r="D157" s="74"/>
      <c r="E157" s="74"/>
      <c r="F157" s="74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74"/>
    </row>
    <row r="158" spans="1:22" ht="14.25">
      <c r="A158" s="90"/>
      <c r="B158" s="98"/>
      <c r="C158" s="99" t="s">
        <v>1378</v>
      </c>
      <c r="D158" s="74"/>
      <c r="E158" s="74"/>
      <c r="F158" s="74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74"/>
    </row>
    <row r="159" spans="1:22" ht="15">
      <c r="A159" s="90"/>
      <c r="B159" s="100" t="s">
        <v>1134</v>
      </c>
      <c r="C159" s="101" t="s">
        <v>1135</v>
      </c>
      <c r="D159" s="101" t="s">
        <v>1711</v>
      </c>
      <c r="E159" s="101" t="s">
        <v>1145</v>
      </c>
      <c r="F159" s="101" t="s">
        <v>193</v>
      </c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74"/>
    </row>
    <row r="160" spans="1:22" ht="12.75">
      <c r="A160" s="90"/>
      <c r="B160" s="90" t="s">
        <v>995</v>
      </c>
      <c r="C160" s="74" t="s">
        <v>1378</v>
      </c>
      <c r="D160" s="90" t="s">
        <v>12</v>
      </c>
      <c r="E160" s="90" t="s">
        <v>999</v>
      </c>
      <c r="F160" s="90" t="s">
        <v>1000</v>
      </c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74"/>
    </row>
    <row r="161" spans="1:22" ht="12.75">
      <c r="A161" s="90"/>
      <c r="B161" s="90" t="s">
        <v>153</v>
      </c>
      <c r="C161" s="74" t="s">
        <v>1378</v>
      </c>
      <c r="D161" s="90" t="s">
        <v>8</v>
      </c>
      <c r="E161" s="90" t="s">
        <v>211</v>
      </c>
      <c r="F161" s="90" t="s">
        <v>212</v>
      </c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74"/>
    </row>
    <row r="162" spans="1:22" ht="12.75">
      <c r="A162" s="90"/>
      <c r="B162" s="90" t="s">
        <v>122</v>
      </c>
      <c r="C162" s="74" t="s">
        <v>1378</v>
      </c>
      <c r="D162" s="90" t="s">
        <v>46</v>
      </c>
      <c r="E162" s="90" t="s">
        <v>213</v>
      </c>
      <c r="F162" s="90" t="s">
        <v>214</v>
      </c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74"/>
    </row>
    <row r="163" spans="1:22" ht="12.75">
      <c r="A163" s="90"/>
      <c r="B163" s="90"/>
      <c r="C163" s="74"/>
      <c r="D163" s="74"/>
      <c r="E163" s="74"/>
      <c r="F163" s="74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74"/>
    </row>
    <row r="164" spans="1:22" ht="14.25">
      <c r="A164" s="90"/>
      <c r="B164" s="98"/>
      <c r="C164" s="99" t="s">
        <v>1193</v>
      </c>
      <c r="D164" s="74"/>
      <c r="E164" s="74"/>
      <c r="F164" s="74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74"/>
    </row>
    <row r="165" spans="1:22" ht="15">
      <c r="A165" s="90"/>
      <c r="B165" s="100" t="s">
        <v>1134</v>
      </c>
      <c r="C165" s="101" t="s">
        <v>1135</v>
      </c>
      <c r="D165" s="101" t="s">
        <v>1711</v>
      </c>
      <c r="E165" s="101" t="s">
        <v>1145</v>
      </c>
      <c r="F165" s="101" t="s">
        <v>193</v>
      </c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74"/>
    </row>
    <row r="166" spans="1:22" ht="12.75">
      <c r="A166" s="90"/>
      <c r="B166" s="90" t="s">
        <v>914</v>
      </c>
      <c r="C166" s="74" t="s">
        <v>1193</v>
      </c>
      <c r="D166" s="90" t="s">
        <v>21</v>
      </c>
      <c r="E166" s="90" t="s">
        <v>915</v>
      </c>
      <c r="F166" s="90" t="s">
        <v>916</v>
      </c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74"/>
    </row>
    <row r="167" spans="1:22" ht="12.75">
      <c r="A167" s="90"/>
      <c r="B167" s="90" t="s">
        <v>1090</v>
      </c>
      <c r="C167" s="74" t="s">
        <v>1193</v>
      </c>
      <c r="D167" s="90" t="s">
        <v>35</v>
      </c>
      <c r="E167" s="90" t="s">
        <v>1094</v>
      </c>
      <c r="F167" s="90" t="s">
        <v>1095</v>
      </c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74"/>
    </row>
    <row r="168" spans="1:22" ht="12.75">
      <c r="A168" s="90"/>
      <c r="B168" s="90" t="s">
        <v>917</v>
      </c>
      <c r="C168" s="74" t="s">
        <v>1193</v>
      </c>
      <c r="D168" s="90" t="s">
        <v>21</v>
      </c>
      <c r="E168" s="90" t="s">
        <v>919</v>
      </c>
      <c r="F168" s="90" t="s">
        <v>920</v>
      </c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74"/>
    </row>
    <row r="169" spans="1:22" ht="12.75">
      <c r="A169" s="90"/>
      <c r="B169" s="90"/>
      <c r="C169" s="74"/>
      <c r="D169" s="74"/>
      <c r="E169" s="74"/>
      <c r="F169" s="74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74"/>
    </row>
    <row r="170" spans="1:22" ht="14.25">
      <c r="A170" s="90"/>
      <c r="B170" s="98"/>
      <c r="C170" s="99" t="s">
        <v>1397</v>
      </c>
      <c r="D170" s="74"/>
      <c r="E170" s="74"/>
      <c r="F170" s="74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74"/>
    </row>
    <row r="171" spans="1:22" ht="15">
      <c r="A171" s="90"/>
      <c r="B171" s="100" t="s">
        <v>1134</v>
      </c>
      <c r="C171" s="101" t="s">
        <v>1135</v>
      </c>
      <c r="D171" s="101" t="s">
        <v>1711</v>
      </c>
      <c r="E171" s="101" t="s">
        <v>1145</v>
      </c>
      <c r="F171" s="101" t="s">
        <v>193</v>
      </c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74"/>
    </row>
    <row r="172" spans="1:22" ht="12.75">
      <c r="A172" s="90"/>
      <c r="B172" s="90" t="s">
        <v>1096</v>
      </c>
      <c r="C172" s="74" t="s">
        <v>1399</v>
      </c>
      <c r="D172" s="90" t="s">
        <v>35</v>
      </c>
      <c r="E172" s="90" t="s">
        <v>1101</v>
      </c>
      <c r="F172" s="90" t="s">
        <v>1103</v>
      </c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74"/>
    </row>
    <row r="173" spans="1:22" ht="12.75">
      <c r="A173" s="90"/>
      <c r="B173" s="90" t="s">
        <v>1050</v>
      </c>
      <c r="C173" s="74" t="s">
        <v>1399</v>
      </c>
      <c r="D173" s="90" t="s">
        <v>44</v>
      </c>
      <c r="E173" s="90" t="s">
        <v>1048</v>
      </c>
      <c r="F173" s="90" t="s">
        <v>1076</v>
      </c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74"/>
    </row>
    <row r="174" spans="1:22" ht="12.75">
      <c r="A174" s="90"/>
      <c r="B174" s="90" t="s">
        <v>986</v>
      </c>
      <c r="C174" s="74" t="s">
        <v>1423</v>
      </c>
      <c r="D174" s="90" t="s">
        <v>21</v>
      </c>
      <c r="E174" s="90" t="s">
        <v>989</v>
      </c>
      <c r="F174" s="90" t="s">
        <v>990</v>
      </c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74"/>
    </row>
    <row r="175" spans="1:22" ht="12.75">
      <c r="A175" s="90"/>
      <c r="B175" s="90"/>
      <c r="C175" s="74"/>
      <c r="D175" s="74"/>
      <c r="E175" s="74"/>
      <c r="F175" s="74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74"/>
    </row>
    <row r="176" spans="1:22" ht="12.75">
      <c r="A176" s="90"/>
      <c r="B176" s="74"/>
      <c r="C176" s="74"/>
      <c r="D176" s="74"/>
      <c r="E176" s="74"/>
      <c r="F176" s="74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74"/>
    </row>
    <row r="177" spans="1:22" ht="12.75">
      <c r="A177" s="90"/>
      <c r="B177" s="74"/>
      <c r="C177" s="74"/>
      <c r="D177" s="74"/>
      <c r="E177" s="74"/>
      <c r="F177" s="74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74"/>
    </row>
    <row r="178" spans="1:22" ht="12.75">
      <c r="A178" s="90"/>
      <c r="B178" s="74"/>
      <c r="C178" s="74"/>
      <c r="D178" s="74"/>
      <c r="E178" s="74"/>
      <c r="F178" s="74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74"/>
    </row>
    <row r="179" spans="1:22" ht="12.75">
      <c r="A179" s="90"/>
      <c r="B179" s="74"/>
      <c r="C179" s="74"/>
      <c r="D179" s="74"/>
      <c r="E179" s="74"/>
      <c r="F179" s="74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74"/>
    </row>
    <row r="180" spans="1:22" ht="12.75">
      <c r="A180" s="90"/>
      <c r="B180" s="74"/>
      <c r="C180" s="74"/>
      <c r="D180" s="74"/>
      <c r="E180" s="74"/>
      <c r="F180" s="74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74"/>
    </row>
    <row r="181" spans="1:22" ht="12.75">
      <c r="A181" s="90"/>
      <c r="B181" s="74"/>
      <c r="C181" s="74"/>
      <c r="D181" s="74"/>
      <c r="E181" s="74"/>
      <c r="F181" s="74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74"/>
    </row>
    <row r="182" spans="1:22" ht="12.75">
      <c r="A182" s="90"/>
      <c r="B182" s="90"/>
      <c r="C182" s="74"/>
      <c r="D182" s="74"/>
      <c r="E182" s="74"/>
      <c r="F182" s="74"/>
      <c r="G182" s="74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74"/>
    </row>
    <row r="183" spans="1:22" ht="12.75">
      <c r="A183" s="90"/>
      <c r="B183" s="90"/>
      <c r="C183" s="74"/>
      <c r="D183" s="74"/>
      <c r="E183" s="74"/>
      <c r="F183" s="74"/>
      <c r="G183" s="74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74"/>
    </row>
    <row r="184" spans="1:22" ht="12.75">
      <c r="A184" s="90"/>
      <c r="B184" s="90"/>
      <c r="C184" s="74"/>
      <c r="D184" s="74"/>
      <c r="E184" s="74"/>
      <c r="F184" s="74"/>
      <c r="G184" s="74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74"/>
    </row>
    <row r="185" spans="1:22" ht="12.75">
      <c r="A185" s="90"/>
      <c r="B185" s="90"/>
      <c r="C185" s="74"/>
      <c r="D185" s="74"/>
      <c r="E185" s="74"/>
      <c r="F185" s="74"/>
      <c r="G185" s="74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74"/>
    </row>
    <row r="186" spans="1:22" ht="12.75">
      <c r="A186" s="90"/>
      <c r="B186" s="90"/>
      <c r="C186" s="74"/>
      <c r="D186" s="74"/>
      <c r="E186" s="74"/>
      <c r="F186" s="74"/>
      <c r="G186" s="74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74"/>
    </row>
    <row r="187" spans="1:22" ht="12.75">
      <c r="A187" s="90"/>
      <c r="B187" s="90"/>
      <c r="C187" s="74"/>
      <c r="D187" s="74"/>
      <c r="E187" s="74"/>
      <c r="F187" s="74"/>
      <c r="G187" s="74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74"/>
    </row>
    <row r="188" spans="1:22" ht="12.75">
      <c r="A188" s="90"/>
      <c r="B188" s="90"/>
      <c r="C188" s="74"/>
      <c r="D188" s="74"/>
      <c r="E188" s="74"/>
      <c r="F188" s="74"/>
      <c r="G188" s="74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74"/>
    </row>
  </sheetData>
  <sheetProtection/>
  <mergeCells count="29">
    <mergeCell ref="A132:U132"/>
    <mergeCell ref="A42:U42"/>
    <mergeCell ref="A54:U54"/>
    <mergeCell ref="A21:U21"/>
    <mergeCell ref="A24:U24"/>
    <mergeCell ref="A72:U72"/>
    <mergeCell ref="A99:U99"/>
    <mergeCell ref="A112:U112"/>
    <mergeCell ref="A125:U125"/>
    <mergeCell ref="A28:U28"/>
    <mergeCell ref="F3:F4"/>
    <mergeCell ref="E3:E4"/>
    <mergeCell ref="T3:T4"/>
    <mergeCell ref="U3:U4"/>
    <mergeCell ref="A34:U34"/>
    <mergeCell ref="A5:U5"/>
    <mergeCell ref="A8:U8"/>
    <mergeCell ref="A11:U11"/>
    <mergeCell ref="A14:U1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B3:B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52">
      <selection activeCell="C73" sqref="C73:C74"/>
    </sheetView>
  </sheetViews>
  <sheetFormatPr defaultColWidth="11.00390625" defaultRowHeight="12.75"/>
  <cols>
    <col min="1" max="1" width="7.375" style="7" bestFit="1" customWidth="1"/>
    <col min="2" max="2" width="29.00390625" style="7" bestFit="1" customWidth="1"/>
    <col min="3" max="3" width="30.625" style="6" bestFit="1" customWidth="1"/>
    <col min="4" max="4" width="17.375" style="6" customWidth="1"/>
    <col min="5" max="5" width="10.625" style="6" bestFit="1" customWidth="1"/>
    <col min="6" max="6" width="27.875" style="6" bestFit="1" customWidth="1"/>
    <col min="7" max="7" width="37.00390625" style="6" bestFit="1" customWidth="1"/>
    <col min="8" max="10" width="5.625" style="7" bestFit="1" customWidth="1"/>
    <col min="11" max="11" width="4.875" style="7" bestFit="1" customWidth="1"/>
    <col min="12" max="14" width="5.625" style="7" bestFit="1" customWidth="1"/>
    <col min="15" max="15" width="4.875" style="7" bestFit="1" customWidth="1"/>
    <col min="16" max="16" width="7.875" style="7" bestFit="1" customWidth="1"/>
    <col min="17" max="17" width="8.625" style="7" bestFit="1" customWidth="1"/>
    <col min="18" max="18" width="29.75390625" style="6" bestFit="1" customWidth="1"/>
    <col min="19" max="16384" width="9.125" style="1" customWidth="1"/>
  </cols>
  <sheetData>
    <row r="1" spans="1:18" ht="28.5" customHeight="1">
      <c r="A1" s="114" t="s">
        <v>1662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spans="1:18" ht="61.5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18" s="2" customFormat="1" ht="12.75" customHeight="1">
      <c r="A3" s="121" t="s">
        <v>1132</v>
      </c>
      <c r="B3" s="126" t="s">
        <v>1133</v>
      </c>
      <c r="C3" s="123" t="s">
        <v>1136</v>
      </c>
      <c r="D3" s="123" t="s">
        <v>1137</v>
      </c>
      <c r="E3" s="112" t="s">
        <v>0</v>
      </c>
      <c r="F3" s="112" t="s">
        <v>1139</v>
      </c>
      <c r="G3" s="112" t="s">
        <v>1140</v>
      </c>
      <c r="H3" s="112" t="s">
        <v>1142</v>
      </c>
      <c r="I3" s="112"/>
      <c r="J3" s="112"/>
      <c r="K3" s="112"/>
      <c r="L3" s="112" t="s">
        <v>1143</v>
      </c>
      <c r="M3" s="112"/>
      <c r="N3" s="112"/>
      <c r="O3" s="112"/>
      <c r="P3" s="112" t="s">
        <v>1144</v>
      </c>
      <c r="Q3" s="112" t="s">
        <v>1146</v>
      </c>
      <c r="R3" s="110" t="s">
        <v>1147</v>
      </c>
    </row>
    <row r="4" spans="1:18" s="2" customFormat="1" ht="21" customHeight="1" thickBot="1">
      <c r="A4" s="122"/>
      <c r="B4" s="127"/>
      <c r="C4" s="113"/>
      <c r="D4" s="113"/>
      <c r="E4" s="113"/>
      <c r="F4" s="113"/>
      <c r="G4" s="113"/>
      <c r="H4" s="3">
        <v>1</v>
      </c>
      <c r="I4" s="3">
        <v>2</v>
      </c>
      <c r="J4" s="3">
        <v>3</v>
      </c>
      <c r="K4" s="3" t="s">
        <v>1518</v>
      </c>
      <c r="L4" s="3">
        <v>1</v>
      </c>
      <c r="M4" s="3">
        <v>2</v>
      </c>
      <c r="N4" s="3">
        <v>3</v>
      </c>
      <c r="O4" s="3" t="s">
        <v>1518</v>
      </c>
      <c r="P4" s="113"/>
      <c r="Q4" s="113"/>
      <c r="R4" s="111"/>
    </row>
    <row r="5" spans="1:17" ht="15">
      <c r="A5" s="125" t="s">
        <v>1162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8" ht="12.75">
      <c r="A6" s="13" t="s">
        <v>217</v>
      </c>
      <c r="B6" s="13" t="s">
        <v>227</v>
      </c>
      <c r="C6" s="14" t="s">
        <v>1372</v>
      </c>
      <c r="D6" s="14" t="s">
        <v>228</v>
      </c>
      <c r="E6" s="14" t="str">
        <f>"1,4123"</f>
        <v>1,4123</v>
      </c>
      <c r="F6" s="14" t="s">
        <v>1522</v>
      </c>
      <c r="G6" s="14" t="s">
        <v>1567</v>
      </c>
      <c r="H6" s="16" t="s">
        <v>31</v>
      </c>
      <c r="I6" s="16" t="s">
        <v>230</v>
      </c>
      <c r="J6" s="15" t="s">
        <v>32</v>
      </c>
      <c r="K6" s="13"/>
      <c r="L6" s="16" t="s">
        <v>12</v>
      </c>
      <c r="M6" s="16" t="s">
        <v>231</v>
      </c>
      <c r="N6" s="16" t="s">
        <v>34</v>
      </c>
      <c r="O6" s="13"/>
      <c r="P6" s="13" t="str">
        <f>"167,5"</f>
        <v>167,5</v>
      </c>
      <c r="Q6" s="13" t="str">
        <f>"236,5602"</f>
        <v>236,5602</v>
      </c>
      <c r="R6" s="14" t="s">
        <v>874</v>
      </c>
    </row>
    <row r="7" spans="1:18" ht="12.75">
      <c r="A7" s="17" t="s">
        <v>217</v>
      </c>
      <c r="B7" s="17" t="s">
        <v>227</v>
      </c>
      <c r="C7" s="18" t="s">
        <v>1216</v>
      </c>
      <c r="D7" s="18" t="s">
        <v>228</v>
      </c>
      <c r="E7" s="18" t="str">
        <f>"1,4123"</f>
        <v>1,4123</v>
      </c>
      <c r="F7" s="18" t="s">
        <v>1522</v>
      </c>
      <c r="G7" s="18" t="s">
        <v>1567</v>
      </c>
      <c r="H7" s="23" t="s">
        <v>31</v>
      </c>
      <c r="I7" s="23" t="s">
        <v>230</v>
      </c>
      <c r="J7" s="24" t="s">
        <v>32</v>
      </c>
      <c r="K7" s="17"/>
      <c r="L7" s="23" t="s">
        <v>12</v>
      </c>
      <c r="M7" s="23" t="s">
        <v>231</v>
      </c>
      <c r="N7" s="23" t="s">
        <v>34</v>
      </c>
      <c r="O7" s="17"/>
      <c r="P7" s="17" t="str">
        <f>"167,5"</f>
        <v>167,5</v>
      </c>
      <c r="Q7" s="17" t="str">
        <f>"236,5602"</f>
        <v>236,5602</v>
      </c>
      <c r="R7" s="18" t="s">
        <v>874</v>
      </c>
    </row>
    <row r="8" ht="12.75">
      <c r="B8" s="7" t="s">
        <v>218</v>
      </c>
    </row>
    <row r="9" spans="1:17" ht="15">
      <c r="A9" s="124" t="s">
        <v>1149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8" ht="12.75">
      <c r="A10" s="8" t="s">
        <v>217</v>
      </c>
      <c r="B10" s="8" t="s">
        <v>244</v>
      </c>
      <c r="C10" s="9" t="s">
        <v>1218</v>
      </c>
      <c r="D10" s="9" t="s">
        <v>245</v>
      </c>
      <c r="E10" s="9" t="str">
        <f>"1,2769"</f>
        <v>1,2769</v>
      </c>
      <c r="F10" s="9" t="s">
        <v>1540</v>
      </c>
      <c r="G10" s="9" t="s">
        <v>1539</v>
      </c>
      <c r="H10" s="10" t="s">
        <v>3</v>
      </c>
      <c r="I10" s="11" t="s">
        <v>58</v>
      </c>
      <c r="J10" s="11" t="s">
        <v>58</v>
      </c>
      <c r="K10" s="8"/>
      <c r="L10" s="10" t="s">
        <v>34</v>
      </c>
      <c r="M10" s="10" t="s">
        <v>44</v>
      </c>
      <c r="N10" s="10" t="s">
        <v>28</v>
      </c>
      <c r="O10" s="8"/>
      <c r="P10" s="8" t="str">
        <f>"200,0"</f>
        <v>200,0</v>
      </c>
      <c r="Q10" s="8" t="str">
        <f>"255,3800"</f>
        <v>255,3800</v>
      </c>
      <c r="R10" s="9" t="s">
        <v>246</v>
      </c>
    </row>
    <row r="11" ht="12.75">
      <c r="B11" s="7" t="s">
        <v>218</v>
      </c>
    </row>
    <row r="12" spans="1:17" ht="15">
      <c r="A12" s="124" t="s">
        <v>1151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8" ht="12.75">
      <c r="A13" s="8" t="s">
        <v>217</v>
      </c>
      <c r="B13" s="8" t="s">
        <v>609</v>
      </c>
      <c r="C13" s="9" t="s">
        <v>1384</v>
      </c>
      <c r="D13" s="9" t="s">
        <v>610</v>
      </c>
      <c r="E13" s="9" t="str">
        <f>"1,1281"</f>
        <v>1,1281</v>
      </c>
      <c r="F13" s="9" t="s">
        <v>1522</v>
      </c>
      <c r="G13" s="9" t="s">
        <v>1523</v>
      </c>
      <c r="H13" s="10" t="s">
        <v>254</v>
      </c>
      <c r="I13" s="10" t="s">
        <v>33</v>
      </c>
      <c r="J13" s="10" t="s">
        <v>234</v>
      </c>
      <c r="K13" s="8"/>
      <c r="L13" s="10" t="s">
        <v>12</v>
      </c>
      <c r="M13" s="11" t="s">
        <v>34</v>
      </c>
      <c r="N13" s="11" t="s">
        <v>34</v>
      </c>
      <c r="O13" s="8"/>
      <c r="P13" s="8" t="str">
        <f>"167,5"</f>
        <v>167,5</v>
      </c>
      <c r="Q13" s="8" t="str">
        <f>"189,9015"</f>
        <v>189,9015</v>
      </c>
      <c r="R13" s="9" t="s">
        <v>41</v>
      </c>
    </row>
    <row r="14" ht="12.75">
      <c r="B14" s="7" t="s">
        <v>218</v>
      </c>
    </row>
    <row r="15" spans="1:17" ht="15">
      <c r="A15" s="124" t="s">
        <v>1153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</row>
    <row r="16" spans="1:18" ht="12.75">
      <c r="A16" s="8" t="s">
        <v>219</v>
      </c>
      <c r="B16" s="8" t="s">
        <v>494</v>
      </c>
      <c r="C16" s="9" t="s">
        <v>1171</v>
      </c>
      <c r="D16" s="9" t="s">
        <v>495</v>
      </c>
      <c r="E16" s="9" t="str">
        <f>"0,9900"</f>
        <v>0,9900</v>
      </c>
      <c r="F16" s="9" t="s">
        <v>1522</v>
      </c>
      <c r="G16" s="9" t="s">
        <v>1525</v>
      </c>
      <c r="H16" s="11" t="s">
        <v>485</v>
      </c>
      <c r="I16" s="10" t="s">
        <v>4</v>
      </c>
      <c r="J16" s="10" t="s">
        <v>7</v>
      </c>
      <c r="K16" s="8"/>
      <c r="L16" s="11" t="s">
        <v>35</v>
      </c>
      <c r="M16" s="11" t="s">
        <v>29</v>
      </c>
      <c r="N16" s="11" t="s">
        <v>30</v>
      </c>
      <c r="O16" s="8"/>
      <c r="P16" s="8" t="str">
        <f>"0,0"</f>
        <v>0,0</v>
      </c>
      <c r="Q16" s="8" t="str">
        <f>"0,0000"</f>
        <v>0,0000</v>
      </c>
      <c r="R16" s="9" t="s">
        <v>496</v>
      </c>
    </row>
    <row r="17" ht="12.75">
      <c r="B17" s="7" t="s">
        <v>218</v>
      </c>
    </row>
    <row r="18" spans="1:17" ht="15">
      <c r="A18" s="124" t="s">
        <v>1151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8" ht="12.75">
      <c r="A19" s="8" t="s">
        <v>217</v>
      </c>
      <c r="B19" s="8" t="s">
        <v>577</v>
      </c>
      <c r="C19" s="9" t="s">
        <v>1327</v>
      </c>
      <c r="D19" s="9" t="s">
        <v>578</v>
      </c>
      <c r="E19" s="9" t="str">
        <f>"0,8635"</f>
        <v>0,8635</v>
      </c>
      <c r="F19" s="9" t="s">
        <v>1522</v>
      </c>
      <c r="G19" s="9" t="s">
        <v>1663</v>
      </c>
      <c r="H19" s="11" t="s">
        <v>34</v>
      </c>
      <c r="I19" s="10" t="s">
        <v>34</v>
      </c>
      <c r="J19" s="11" t="s">
        <v>280</v>
      </c>
      <c r="K19" s="8"/>
      <c r="L19" s="10" t="s">
        <v>84</v>
      </c>
      <c r="M19" s="11" t="s">
        <v>63</v>
      </c>
      <c r="N19" s="11" t="s">
        <v>63</v>
      </c>
      <c r="O19" s="8"/>
      <c r="P19" s="8" t="str">
        <f>"335,0"</f>
        <v>335,0</v>
      </c>
      <c r="Q19" s="8" t="str">
        <f>"289,2725"</f>
        <v>289,2725</v>
      </c>
      <c r="R19" s="9" t="s">
        <v>579</v>
      </c>
    </row>
    <row r="20" ht="12.75">
      <c r="B20" s="7" t="s">
        <v>218</v>
      </c>
    </row>
    <row r="21" spans="1:17" ht="15">
      <c r="A21" s="124" t="s">
        <v>1152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8" ht="12.75">
      <c r="A22" s="8" t="s">
        <v>217</v>
      </c>
      <c r="B22" s="8" t="s">
        <v>502</v>
      </c>
      <c r="C22" s="9" t="s">
        <v>1328</v>
      </c>
      <c r="D22" s="9" t="s">
        <v>503</v>
      </c>
      <c r="E22" s="9" t="str">
        <f>"0,7729"</f>
        <v>0,7729</v>
      </c>
      <c r="F22" s="9" t="s">
        <v>1522</v>
      </c>
      <c r="G22" s="9" t="s">
        <v>1567</v>
      </c>
      <c r="H22" s="10" t="s">
        <v>21</v>
      </c>
      <c r="I22" s="10" t="s">
        <v>40</v>
      </c>
      <c r="J22" s="11" t="s">
        <v>12</v>
      </c>
      <c r="K22" s="8"/>
      <c r="L22" s="10" t="s">
        <v>34</v>
      </c>
      <c r="M22" s="10" t="s">
        <v>28</v>
      </c>
      <c r="N22" s="10" t="s">
        <v>35</v>
      </c>
      <c r="O22" s="8"/>
      <c r="P22" s="8" t="str">
        <f>"247,5"</f>
        <v>247,5</v>
      </c>
      <c r="Q22" s="8" t="str">
        <f>"191,2927"</f>
        <v>191,2927</v>
      </c>
      <c r="R22" s="9" t="s">
        <v>41</v>
      </c>
    </row>
    <row r="23" ht="12.75">
      <c r="B23" s="7" t="s">
        <v>218</v>
      </c>
    </row>
    <row r="24" spans="1:17" ht="15">
      <c r="A24" s="124" t="s">
        <v>1153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8" ht="12.75">
      <c r="A25" s="13" t="s">
        <v>217</v>
      </c>
      <c r="B25" s="13" t="s">
        <v>611</v>
      </c>
      <c r="C25" s="14" t="s">
        <v>1509</v>
      </c>
      <c r="D25" s="14" t="s">
        <v>612</v>
      </c>
      <c r="E25" s="14" t="str">
        <f>"0,7437"</f>
        <v>0,7437</v>
      </c>
      <c r="F25" s="14" t="s">
        <v>1522</v>
      </c>
      <c r="G25" s="44" t="s">
        <v>1664</v>
      </c>
      <c r="H25" s="55" t="s">
        <v>20</v>
      </c>
      <c r="I25" s="16" t="s">
        <v>21</v>
      </c>
      <c r="J25" s="57" t="s">
        <v>278</v>
      </c>
      <c r="K25" s="13"/>
      <c r="L25" s="56" t="s">
        <v>34</v>
      </c>
      <c r="M25" s="16" t="s">
        <v>28</v>
      </c>
      <c r="N25" s="58" t="s">
        <v>35</v>
      </c>
      <c r="O25" s="50"/>
      <c r="P25" s="13" t="str">
        <f>"240,0"</f>
        <v>240,0</v>
      </c>
      <c r="Q25" s="13" t="str">
        <f>"178,4880"</f>
        <v>178,4880</v>
      </c>
      <c r="R25" s="14" t="s">
        <v>892</v>
      </c>
    </row>
    <row r="26" spans="1:18" ht="12.75">
      <c r="A26" s="19" t="s">
        <v>217</v>
      </c>
      <c r="B26" s="19" t="s">
        <v>323</v>
      </c>
      <c r="C26" s="20" t="s">
        <v>1240</v>
      </c>
      <c r="D26" s="20" t="s">
        <v>109</v>
      </c>
      <c r="E26" s="20" t="str">
        <f>"0,7152"</f>
        <v>0,7152</v>
      </c>
      <c r="F26" s="20" t="s">
        <v>1556</v>
      </c>
      <c r="G26" s="45" t="s">
        <v>1557</v>
      </c>
      <c r="H26" s="59" t="s">
        <v>34</v>
      </c>
      <c r="I26" s="21" t="s">
        <v>44</v>
      </c>
      <c r="J26" s="53" t="s">
        <v>285</v>
      </c>
      <c r="K26" s="19"/>
      <c r="L26" s="53" t="s">
        <v>84</v>
      </c>
      <c r="M26" s="21" t="s">
        <v>345</v>
      </c>
      <c r="N26" s="60" t="s">
        <v>348</v>
      </c>
      <c r="O26" s="51"/>
      <c r="P26" s="19" t="str">
        <f>"360,0"</f>
        <v>360,0</v>
      </c>
      <c r="Q26" s="19" t="str">
        <f>"257,4720"</f>
        <v>257,4720</v>
      </c>
      <c r="R26" s="20" t="s">
        <v>324</v>
      </c>
    </row>
    <row r="27" spans="1:18" ht="12.75">
      <c r="A27" s="19" t="s">
        <v>220</v>
      </c>
      <c r="B27" s="19" t="s">
        <v>613</v>
      </c>
      <c r="C27" s="20" t="s">
        <v>1177</v>
      </c>
      <c r="D27" s="20" t="s">
        <v>321</v>
      </c>
      <c r="E27" s="20" t="str">
        <f>"0,7186"</f>
        <v>0,7186</v>
      </c>
      <c r="F27" s="20" t="s">
        <v>1703</v>
      </c>
      <c r="G27" s="45" t="s">
        <v>1704</v>
      </c>
      <c r="H27" s="59" t="s">
        <v>113</v>
      </c>
      <c r="I27" s="21" t="s">
        <v>114</v>
      </c>
      <c r="J27" s="54" t="s">
        <v>35</v>
      </c>
      <c r="K27" s="19"/>
      <c r="L27" s="53" t="s">
        <v>64</v>
      </c>
      <c r="M27" s="21" t="s">
        <v>367</v>
      </c>
      <c r="N27" s="61" t="s">
        <v>91</v>
      </c>
      <c r="O27" s="51"/>
      <c r="P27" s="19" t="str">
        <f>"340,0"</f>
        <v>340,0</v>
      </c>
      <c r="Q27" s="19" t="str">
        <f>"244,3240"</f>
        <v>244,3240</v>
      </c>
      <c r="R27" s="20" t="s">
        <v>614</v>
      </c>
    </row>
    <row r="28" spans="1:18" ht="12.75">
      <c r="A28" s="19" t="s">
        <v>221</v>
      </c>
      <c r="B28" s="19" t="s">
        <v>615</v>
      </c>
      <c r="C28" s="20" t="s">
        <v>1329</v>
      </c>
      <c r="D28" s="20" t="s">
        <v>102</v>
      </c>
      <c r="E28" s="20" t="str">
        <f>"0,7264"</f>
        <v>0,7264</v>
      </c>
      <c r="F28" s="20" t="s">
        <v>1522</v>
      </c>
      <c r="G28" s="45" t="s">
        <v>1567</v>
      </c>
      <c r="H28" s="59" t="s">
        <v>12</v>
      </c>
      <c r="I28" s="21" t="s">
        <v>250</v>
      </c>
      <c r="J28" s="53" t="s">
        <v>280</v>
      </c>
      <c r="K28" s="19"/>
      <c r="L28" s="53" t="s">
        <v>76</v>
      </c>
      <c r="M28" s="21" t="s">
        <v>163</v>
      </c>
      <c r="N28" s="51"/>
      <c r="O28" s="51"/>
      <c r="P28" s="19" t="str">
        <f>"310,0"</f>
        <v>310,0</v>
      </c>
      <c r="Q28" s="19" t="str">
        <f>"225,1840"</f>
        <v>225,1840</v>
      </c>
      <c r="R28" s="20" t="s">
        <v>41</v>
      </c>
    </row>
    <row r="29" spans="1:18" ht="12.75">
      <c r="A29" s="19" t="s">
        <v>222</v>
      </c>
      <c r="B29" s="19" t="s">
        <v>616</v>
      </c>
      <c r="C29" s="20" t="s">
        <v>1330</v>
      </c>
      <c r="D29" s="20" t="s">
        <v>617</v>
      </c>
      <c r="E29" s="20" t="str">
        <f>"0,7146"</f>
        <v>0,7146</v>
      </c>
      <c r="F29" s="20" t="s">
        <v>1522</v>
      </c>
      <c r="G29" s="45" t="s">
        <v>1567</v>
      </c>
      <c r="H29" s="59" t="s">
        <v>39</v>
      </c>
      <c r="I29" s="22" t="s">
        <v>12</v>
      </c>
      <c r="J29" s="54" t="s">
        <v>12</v>
      </c>
      <c r="K29" s="19"/>
      <c r="L29" s="53" t="s">
        <v>18</v>
      </c>
      <c r="M29" s="21" t="s">
        <v>64</v>
      </c>
      <c r="N29" s="61" t="s">
        <v>528</v>
      </c>
      <c r="O29" s="51"/>
      <c r="P29" s="19" t="str">
        <f>"295,0"</f>
        <v>295,0</v>
      </c>
      <c r="Q29" s="19" t="str">
        <f>"210,8070"</f>
        <v>210,8070</v>
      </c>
      <c r="R29" s="20" t="s">
        <v>893</v>
      </c>
    </row>
    <row r="30" spans="1:18" ht="12.75">
      <c r="A30" s="19" t="s">
        <v>217</v>
      </c>
      <c r="B30" s="19" t="s">
        <v>325</v>
      </c>
      <c r="C30" s="20" t="s">
        <v>1406</v>
      </c>
      <c r="D30" s="20" t="s">
        <v>293</v>
      </c>
      <c r="E30" s="20" t="str">
        <f>"0,7307"</f>
        <v>0,7307</v>
      </c>
      <c r="F30" s="20" t="s">
        <v>1540</v>
      </c>
      <c r="G30" s="45" t="s">
        <v>1539</v>
      </c>
      <c r="H30" s="59" t="s">
        <v>20</v>
      </c>
      <c r="I30" s="22" t="s">
        <v>278</v>
      </c>
      <c r="J30" s="54" t="s">
        <v>278</v>
      </c>
      <c r="K30" s="19"/>
      <c r="L30" s="53" t="s">
        <v>28</v>
      </c>
      <c r="M30" s="21" t="s">
        <v>30</v>
      </c>
      <c r="N30" s="60" t="s">
        <v>49</v>
      </c>
      <c r="O30" s="51"/>
      <c r="P30" s="19" t="str">
        <f>"257,5"</f>
        <v>257,5</v>
      </c>
      <c r="Q30" s="19" t="str">
        <f>"193,4236"</f>
        <v>193,4236</v>
      </c>
      <c r="R30" s="20" t="s">
        <v>326</v>
      </c>
    </row>
    <row r="31" spans="1:18" ht="12.75">
      <c r="A31" s="19" t="s">
        <v>217</v>
      </c>
      <c r="B31" s="19" t="s">
        <v>327</v>
      </c>
      <c r="C31" s="20" t="s">
        <v>1407</v>
      </c>
      <c r="D31" s="20" t="s">
        <v>316</v>
      </c>
      <c r="E31" s="20" t="str">
        <f>"0,7179"</f>
        <v>0,7179</v>
      </c>
      <c r="F31" s="20" t="s">
        <v>1522</v>
      </c>
      <c r="G31" s="45" t="s">
        <v>1615</v>
      </c>
      <c r="H31" s="59" t="s">
        <v>231</v>
      </c>
      <c r="I31" s="21" t="s">
        <v>34</v>
      </c>
      <c r="J31" s="53" t="s">
        <v>44</v>
      </c>
      <c r="K31" s="19"/>
      <c r="L31" s="53" t="s">
        <v>65</v>
      </c>
      <c r="M31" s="21" t="s">
        <v>84</v>
      </c>
      <c r="N31" s="61" t="s">
        <v>63</v>
      </c>
      <c r="O31" s="51"/>
      <c r="P31" s="19" t="str">
        <f>"340,0"</f>
        <v>340,0</v>
      </c>
      <c r="Q31" s="19" t="str">
        <f>"285,0924"</f>
        <v>285,0924</v>
      </c>
      <c r="R31" s="20" t="s">
        <v>41</v>
      </c>
    </row>
    <row r="32" spans="1:18" ht="12.75">
      <c r="A32" s="17" t="s">
        <v>217</v>
      </c>
      <c r="B32" s="17" t="s">
        <v>513</v>
      </c>
      <c r="C32" s="18" t="s">
        <v>1442</v>
      </c>
      <c r="D32" s="18" t="s">
        <v>316</v>
      </c>
      <c r="E32" s="18" t="str">
        <f>"0,7179"</f>
        <v>0,7179</v>
      </c>
      <c r="F32" s="18" t="s">
        <v>861</v>
      </c>
      <c r="G32" s="46" t="s">
        <v>1567</v>
      </c>
      <c r="H32" s="62" t="s">
        <v>21</v>
      </c>
      <c r="I32" s="23" t="s">
        <v>21</v>
      </c>
      <c r="J32" s="64" t="s">
        <v>39</v>
      </c>
      <c r="K32" s="17"/>
      <c r="L32" s="63" t="s">
        <v>18</v>
      </c>
      <c r="M32" s="23" t="s">
        <v>76</v>
      </c>
      <c r="N32" s="65" t="s">
        <v>64</v>
      </c>
      <c r="O32" s="52"/>
      <c r="P32" s="17" t="str">
        <f>"280,0"</f>
        <v>280,0</v>
      </c>
      <c r="Q32" s="17" t="str">
        <f>"301,7190"</f>
        <v>301,7190</v>
      </c>
      <c r="R32" s="18" t="s">
        <v>863</v>
      </c>
    </row>
    <row r="33" ht="12.75">
      <c r="B33" s="7" t="s">
        <v>218</v>
      </c>
    </row>
    <row r="34" spans="1:17" ht="15">
      <c r="A34" s="124" t="s">
        <v>1154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</row>
    <row r="35" spans="1:18" ht="12.75">
      <c r="A35" s="13" t="s">
        <v>217</v>
      </c>
      <c r="B35" s="13" t="s">
        <v>346</v>
      </c>
      <c r="C35" s="14" t="s">
        <v>1244</v>
      </c>
      <c r="D35" s="14" t="s">
        <v>618</v>
      </c>
      <c r="E35" s="14" t="str">
        <f>"0,6888"</f>
        <v>0,6888</v>
      </c>
      <c r="F35" s="14" t="s">
        <v>1540</v>
      </c>
      <c r="G35" s="14" t="s">
        <v>1684</v>
      </c>
      <c r="H35" s="16" t="s">
        <v>357</v>
      </c>
      <c r="I35" s="15" t="s">
        <v>30</v>
      </c>
      <c r="J35" s="16" t="s">
        <v>22</v>
      </c>
      <c r="K35" s="13"/>
      <c r="L35" s="16" t="s">
        <v>66</v>
      </c>
      <c r="M35" s="16" t="s">
        <v>63</v>
      </c>
      <c r="N35" s="15" t="s">
        <v>115</v>
      </c>
      <c r="O35" s="13"/>
      <c r="P35" s="13" t="str">
        <f>"375,0"</f>
        <v>375,0</v>
      </c>
      <c r="Q35" s="13" t="str">
        <f>"258,3000"</f>
        <v>258,3000</v>
      </c>
      <c r="R35" s="14" t="s">
        <v>894</v>
      </c>
    </row>
    <row r="36" spans="1:18" ht="12.75">
      <c r="A36" s="19" t="s">
        <v>220</v>
      </c>
      <c r="B36" s="19" t="s">
        <v>619</v>
      </c>
      <c r="C36" s="20" t="s">
        <v>1331</v>
      </c>
      <c r="D36" s="20" t="s">
        <v>620</v>
      </c>
      <c r="E36" s="20" t="str">
        <f>"0,6827"</f>
        <v>0,6827</v>
      </c>
      <c r="F36" s="20" t="s">
        <v>1522</v>
      </c>
      <c r="G36" s="20" t="s">
        <v>1592</v>
      </c>
      <c r="H36" s="21" t="s">
        <v>28</v>
      </c>
      <c r="I36" s="21" t="s">
        <v>45</v>
      </c>
      <c r="J36" s="22" t="s">
        <v>114</v>
      </c>
      <c r="K36" s="19"/>
      <c r="L36" s="21" t="s">
        <v>83</v>
      </c>
      <c r="M36" s="21" t="s">
        <v>96</v>
      </c>
      <c r="N36" s="22" t="s">
        <v>115</v>
      </c>
      <c r="O36" s="19"/>
      <c r="P36" s="19" t="str">
        <f>"370,0"</f>
        <v>370,0</v>
      </c>
      <c r="Q36" s="19" t="str">
        <f>"252,5990"</f>
        <v>252,5990</v>
      </c>
      <c r="R36" s="20" t="s">
        <v>41</v>
      </c>
    </row>
    <row r="37" spans="1:18" ht="12.75">
      <c r="A37" s="19" t="s">
        <v>221</v>
      </c>
      <c r="B37" s="19" t="s">
        <v>621</v>
      </c>
      <c r="C37" s="20" t="s">
        <v>1332</v>
      </c>
      <c r="D37" s="20" t="s">
        <v>131</v>
      </c>
      <c r="E37" s="20" t="str">
        <f>"0,6704"</f>
        <v>0,6704</v>
      </c>
      <c r="F37" s="20" t="s">
        <v>1556</v>
      </c>
      <c r="G37" s="20" t="s">
        <v>1557</v>
      </c>
      <c r="H37" s="21" t="s">
        <v>12</v>
      </c>
      <c r="I37" s="21" t="s">
        <v>231</v>
      </c>
      <c r="J37" s="21" t="s">
        <v>34</v>
      </c>
      <c r="K37" s="19"/>
      <c r="L37" s="22" t="s">
        <v>64</v>
      </c>
      <c r="M37" s="21" t="s">
        <v>64</v>
      </c>
      <c r="N37" s="21" t="s">
        <v>65</v>
      </c>
      <c r="O37" s="19"/>
      <c r="P37" s="19" t="str">
        <f>"320,0"</f>
        <v>320,0</v>
      </c>
      <c r="Q37" s="19" t="str">
        <f>"214,5280"</f>
        <v>214,5280</v>
      </c>
      <c r="R37" s="20" t="s">
        <v>324</v>
      </c>
    </row>
    <row r="38" spans="1:18" ht="12.75">
      <c r="A38" s="19" t="s">
        <v>222</v>
      </c>
      <c r="B38" s="19" t="s">
        <v>622</v>
      </c>
      <c r="C38" s="20" t="s">
        <v>1333</v>
      </c>
      <c r="D38" s="20" t="s">
        <v>623</v>
      </c>
      <c r="E38" s="20" t="str">
        <f>"0,6939"</f>
        <v>0,6939</v>
      </c>
      <c r="F38" s="20" t="s">
        <v>1522</v>
      </c>
      <c r="G38" s="20" t="s">
        <v>1618</v>
      </c>
      <c r="H38" s="22" t="s">
        <v>21</v>
      </c>
      <c r="I38" s="21" t="s">
        <v>231</v>
      </c>
      <c r="J38" s="22" t="s">
        <v>34</v>
      </c>
      <c r="K38" s="19"/>
      <c r="L38" s="21" t="s">
        <v>55</v>
      </c>
      <c r="M38" s="21" t="s">
        <v>70</v>
      </c>
      <c r="N38" s="21" t="s">
        <v>65</v>
      </c>
      <c r="O38" s="19"/>
      <c r="P38" s="19" t="str">
        <f>"315,0"</f>
        <v>315,0</v>
      </c>
      <c r="Q38" s="19" t="str">
        <f>"218,5785"</f>
        <v>218,5785</v>
      </c>
      <c r="R38" s="20" t="s">
        <v>567</v>
      </c>
    </row>
    <row r="39" spans="1:18" ht="12.75">
      <c r="A39" s="19" t="s">
        <v>217</v>
      </c>
      <c r="B39" s="19" t="s">
        <v>519</v>
      </c>
      <c r="C39" s="20" t="s">
        <v>1443</v>
      </c>
      <c r="D39" s="20" t="s">
        <v>520</v>
      </c>
      <c r="E39" s="20" t="str">
        <f>"0,6734"</f>
        <v>0,6734</v>
      </c>
      <c r="F39" s="20" t="s">
        <v>1522</v>
      </c>
      <c r="G39" s="20" t="s">
        <v>1567</v>
      </c>
      <c r="H39" s="22" t="s">
        <v>249</v>
      </c>
      <c r="I39" s="21" t="s">
        <v>249</v>
      </c>
      <c r="J39" s="21" t="s">
        <v>250</v>
      </c>
      <c r="K39" s="19"/>
      <c r="L39" s="21" t="s">
        <v>17</v>
      </c>
      <c r="M39" s="21" t="s">
        <v>18</v>
      </c>
      <c r="N39" s="21" t="s">
        <v>55</v>
      </c>
      <c r="O39" s="19"/>
      <c r="P39" s="19" t="str">
        <f>"292,5"</f>
        <v>292,5</v>
      </c>
      <c r="Q39" s="19" t="str">
        <f>"196,9695"</f>
        <v>196,9695</v>
      </c>
      <c r="R39" s="20" t="s">
        <v>41</v>
      </c>
    </row>
    <row r="40" spans="1:18" ht="12.75">
      <c r="A40" s="17" t="s">
        <v>220</v>
      </c>
      <c r="B40" s="17" t="s">
        <v>521</v>
      </c>
      <c r="C40" s="18" t="s">
        <v>1388</v>
      </c>
      <c r="D40" s="18" t="s">
        <v>522</v>
      </c>
      <c r="E40" s="18" t="str">
        <f>"0,6790"</f>
        <v>0,6790</v>
      </c>
      <c r="F40" s="18" t="s">
        <v>1540</v>
      </c>
      <c r="G40" s="18" t="s">
        <v>1539</v>
      </c>
      <c r="H40" s="24" t="s">
        <v>8</v>
      </c>
      <c r="I40" s="23" t="s">
        <v>8</v>
      </c>
      <c r="J40" s="24" t="s">
        <v>21</v>
      </c>
      <c r="K40" s="17"/>
      <c r="L40" s="23" t="s">
        <v>8</v>
      </c>
      <c r="M40" s="23" t="s">
        <v>12</v>
      </c>
      <c r="N40" s="23" t="s">
        <v>28</v>
      </c>
      <c r="O40" s="17"/>
      <c r="P40" s="17" t="str">
        <f>"220,0"</f>
        <v>220,0</v>
      </c>
      <c r="Q40" s="17" t="str">
        <f>"155,9527"</f>
        <v>155,9527</v>
      </c>
      <c r="R40" s="18" t="s">
        <v>523</v>
      </c>
    </row>
    <row r="41" ht="12.75">
      <c r="B41" s="7" t="s">
        <v>218</v>
      </c>
    </row>
    <row r="42" spans="1:17" ht="15">
      <c r="A42" s="124" t="s">
        <v>1156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</row>
    <row r="43" spans="1:18" ht="12.75">
      <c r="A43" s="13" t="s">
        <v>217</v>
      </c>
      <c r="B43" s="13" t="s">
        <v>587</v>
      </c>
      <c r="C43" s="14" t="s">
        <v>1179</v>
      </c>
      <c r="D43" s="14" t="s">
        <v>146</v>
      </c>
      <c r="E43" s="14" t="str">
        <f>"0,6428"</f>
        <v>0,6428</v>
      </c>
      <c r="F43" s="14" t="s">
        <v>1547</v>
      </c>
      <c r="G43" s="14" t="s">
        <v>1548</v>
      </c>
      <c r="H43" s="16" t="s">
        <v>17</v>
      </c>
      <c r="I43" s="15" t="s">
        <v>18</v>
      </c>
      <c r="J43" s="16" t="s">
        <v>18</v>
      </c>
      <c r="K43" s="13"/>
      <c r="L43" s="16" t="s">
        <v>121</v>
      </c>
      <c r="M43" s="16" t="s">
        <v>155</v>
      </c>
      <c r="N43" s="16" t="s">
        <v>588</v>
      </c>
      <c r="O43" s="13"/>
      <c r="P43" s="13" t="s">
        <v>1130</v>
      </c>
      <c r="Q43" s="13" t="s">
        <v>1131</v>
      </c>
      <c r="R43" s="14" t="s">
        <v>575</v>
      </c>
    </row>
    <row r="44" spans="1:18" ht="12.75">
      <c r="A44" s="19" t="s">
        <v>220</v>
      </c>
      <c r="B44" s="19" t="s">
        <v>624</v>
      </c>
      <c r="C44" s="20" t="s">
        <v>1180</v>
      </c>
      <c r="D44" s="20" t="s">
        <v>585</v>
      </c>
      <c r="E44" s="20" t="str">
        <f>"0,6447"</f>
        <v>0,6447</v>
      </c>
      <c r="F44" s="20" t="s">
        <v>1547</v>
      </c>
      <c r="G44" s="20" t="s">
        <v>1549</v>
      </c>
      <c r="H44" s="21" t="s">
        <v>55</v>
      </c>
      <c r="I44" s="22" t="s">
        <v>76</v>
      </c>
      <c r="J44" s="21" t="s">
        <v>76</v>
      </c>
      <c r="K44" s="19"/>
      <c r="L44" s="21" t="s">
        <v>401</v>
      </c>
      <c r="M44" s="22" t="s">
        <v>164</v>
      </c>
      <c r="N44" s="22" t="s">
        <v>164</v>
      </c>
      <c r="O44" s="19"/>
      <c r="P44" s="19" t="str">
        <f>"465,0"</f>
        <v>465,0</v>
      </c>
      <c r="Q44" s="19" t="str">
        <f>"299,7855"</f>
        <v>299,7855</v>
      </c>
      <c r="R44" s="20" t="s">
        <v>41</v>
      </c>
    </row>
    <row r="45" spans="1:18" ht="12.75">
      <c r="A45" s="19" t="s">
        <v>221</v>
      </c>
      <c r="B45" s="19" t="s">
        <v>868</v>
      </c>
      <c r="C45" s="20" t="s">
        <v>1246</v>
      </c>
      <c r="D45" s="20" t="s">
        <v>172</v>
      </c>
      <c r="E45" s="20" t="str">
        <f>"0,6475"</f>
        <v>0,6475</v>
      </c>
      <c r="F45" s="20" t="s">
        <v>1556</v>
      </c>
      <c r="G45" s="20" t="s">
        <v>1557</v>
      </c>
      <c r="H45" s="21" t="s">
        <v>30</v>
      </c>
      <c r="I45" s="21" t="s">
        <v>17</v>
      </c>
      <c r="J45" s="21" t="s">
        <v>132</v>
      </c>
      <c r="K45" s="19"/>
      <c r="L45" s="22" t="s">
        <v>65</v>
      </c>
      <c r="M45" s="21" t="s">
        <v>65</v>
      </c>
      <c r="N45" s="21" t="s">
        <v>66</v>
      </c>
      <c r="O45" s="19"/>
      <c r="P45" s="19" t="str">
        <f>"377,5"</f>
        <v>377,5</v>
      </c>
      <c r="Q45" s="19" t="str">
        <f>"244,4312"</f>
        <v>244,4312</v>
      </c>
      <c r="R45" s="20" t="s">
        <v>41</v>
      </c>
    </row>
    <row r="46" spans="1:18" ht="12.75">
      <c r="A46" s="19" t="s">
        <v>217</v>
      </c>
      <c r="B46" s="19" t="s">
        <v>181</v>
      </c>
      <c r="C46" s="20" t="s">
        <v>1389</v>
      </c>
      <c r="D46" s="20" t="s">
        <v>359</v>
      </c>
      <c r="E46" s="20" t="str">
        <f>"0,6432"</f>
        <v>0,6432</v>
      </c>
      <c r="F46" s="20" t="s">
        <v>1540</v>
      </c>
      <c r="G46" s="20" t="s">
        <v>1539</v>
      </c>
      <c r="H46" s="21" t="s">
        <v>29</v>
      </c>
      <c r="I46" s="21" t="s">
        <v>22</v>
      </c>
      <c r="J46" s="19"/>
      <c r="K46" s="19"/>
      <c r="L46" s="21" t="s">
        <v>66</v>
      </c>
      <c r="M46" s="21" t="s">
        <v>63</v>
      </c>
      <c r="N46" s="19"/>
      <c r="O46" s="19"/>
      <c r="P46" s="19" t="str">
        <f>"375,0"</f>
        <v>375,0</v>
      </c>
      <c r="Q46" s="19" t="str">
        <f>"273,0384"</f>
        <v>273,0384</v>
      </c>
      <c r="R46" s="20" t="s">
        <v>41</v>
      </c>
    </row>
    <row r="47" spans="1:18" ht="12.75">
      <c r="A47" s="19" t="s">
        <v>217</v>
      </c>
      <c r="B47" s="19" t="s">
        <v>589</v>
      </c>
      <c r="C47" s="20" t="s">
        <v>1444</v>
      </c>
      <c r="D47" s="20" t="s">
        <v>148</v>
      </c>
      <c r="E47" s="20" t="str">
        <f>"0,6499"</f>
        <v>0,6499</v>
      </c>
      <c r="F47" s="20" t="s">
        <v>1522</v>
      </c>
      <c r="G47" s="20" t="s">
        <v>1525</v>
      </c>
      <c r="H47" s="21" t="s">
        <v>34</v>
      </c>
      <c r="I47" s="21" t="s">
        <v>28</v>
      </c>
      <c r="J47" s="22" t="s">
        <v>45</v>
      </c>
      <c r="K47" s="19"/>
      <c r="L47" s="21" t="s">
        <v>91</v>
      </c>
      <c r="M47" s="21" t="s">
        <v>84</v>
      </c>
      <c r="N47" s="22" t="s">
        <v>95</v>
      </c>
      <c r="O47" s="19"/>
      <c r="P47" s="19" t="str">
        <f>"345,0"</f>
        <v>345,0</v>
      </c>
      <c r="Q47" s="19" t="str">
        <f>"257,8478"</f>
        <v>257,8478</v>
      </c>
      <c r="R47" s="20" t="s">
        <v>590</v>
      </c>
    </row>
    <row r="48" spans="1:18" ht="12.75">
      <c r="A48" s="17" t="s">
        <v>219</v>
      </c>
      <c r="B48" s="17" t="s">
        <v>371</v>
      </c>
      <c r="C48" s="18" t="s">
        <v>1414</v>
      </c>
      <c r="D48" s="18" t="s">
        <v>182</v>
      </c>
      <c r="E48" s="18" t="str">
        <f>"0,6421"</f>
        <v>0,6421</v>
      </c>
      <c r="F48" s="18" t="s">
        <v>1522</v>
      </c>
      <c r="G48" s="18" t="s">
        <v>1567</v>
      </c>
      <c r="H48" s="24" t="s">
        <v>28</v>
      </c>
      <c r="I48" s="24" t="s">
        <v>28</v>
      </c>
      <c r="J48" s="24" t="s">
        <v>28</v>
      </c>
      <c r="K48" s="17"/>
      <c r="L48" s="24"/>
      <c r="M48" s="17"/>
      <c r="N48" s="17"/>
      <c r="O48" s="17"/>
      <c r="P48" s="17" t="str">
        <f>"0,0"</f>
        <v>0,0</v>
      </c>
      <c r="Q48" s="17" t="str">
        <f>"0,0000"</f>
        <v>0,0000</v>
      </c>
      <c r="R48" s="18" t="s">
        <v>41</v>
      </c>
    </row>
    <row r="49" ht="12.75">
      <c r="B49" s="7" t="s">
        <v>218</v>
      </c>
    </row>
    <row r="50" spans="1:17" ht="15">
      <c r="A50" s="124" t="s">
        <v>1157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</row>
    <row r="51" spans="1:18" ht="12.75">
      <c r="A51" s="13" t="s">
        <v>217</v>
      </c>
      <c r="B51" s="13" t="s">
        <v>625</v>
      </c>
      <c r="C51" s="14" t="s">
        <v>1334</v>
      </c>
      <c r="D51" s="14" t="s">
        <v>539</v>
      </c>
      <c r="E51" s="14" t="str">
        <f>"0,6123"</f>
        <v>0,6123</v>
      </c>
      <c r="F51" s="14" t="s">
        <v>1522</v>
      </c>
      <c r="G51" s="14" t="s">
        <v>1567</v>
      </c>
      <c r="H51" s="16" t="s">
        <v>30</v>
      </c>
      <c r="I51" s="16" t="s">
        <v>22</v>
      </c>
      <c r="J51" s="15" t="s">
        <v>49</v>
      </c>
      <c r="K51" s="13"/>
      <c r="L51" s="16" t="s">
        <v>65</v>
      </c>
      <c r="M51" s="16" t="s">
        <v>66</v>
      </c>
      <c r="N51" s="15" t="s">
        <v>84</v>
      </c>
      <c r="O51" s="13"/>
      <c r="P51" s="13" t="str">
        <f>"365,0"</f>
        <v>365,0</v>
      </c>
      <c r="Q51" s="13" t="str">
        <f>"223,4895"</f>
        <v>223,4895</v>
      </c>
      <c r="R51" s="14" t="s">
        <v>41</v>
      </c>
    </row>
    <row r="52" spans="1:18" ht="12.75">
      <c r="A52" s="19" t="s">
        <v>220</v>
      </c>
      <c r="B52" s="19" t="s">
        <v>549</v>
      </c>
      <c r="C52" s="20" t="s">
        <v>1335</v>
      </c>
      <c r="D52" s="20" t="s">
        <v>544</v>
      </c>
      <c r="E52" s="20" t="str">
        <f>"0,6108"</f>
        <v>0,6108</v>
      </c>
      <c r="F52" s="20" t="s">
        <v>1534</v>
      </c>
      <c r="G52" s="20" t="s">
        <v>1705</v>
      </c>
      <c r="H52" s="21" t="s">
        <v>28</v>
      </c>
      <c r="I52" s="22" t="s">
        <v>35</v>
      </c>
      <c r="J52" s="21" t="s">
        <v>35</v>
      </c>
      <c r="K52" s="19"/>
      <c r="L52" s="21" t="s">
        <v>17</v>
      </c>
      <c r="M52" s="21" t="s">
        <v>18</v>
      </c>
      <c r="N52" s="22" t="s">
        <v>55</v>
      </c>
      <c r="O52" s="19"/>
      <c r="P52" s="19" t="str">
        <f>"310,0"</f>
        <v>310,0</v>
      </c>
      <c r="Q52" s="19" t="str">
        <f>"189,3480"</f>
        <v>189,3480</v>
      </c>
      <c r="R52" s="20" t="s">
        <v>41</v>
      </c>
    </row>
    <row r="53" spans="1:18" ht="12.75">
      <c r="A53" s="17" t="s">
        <v>217</v>
      </c>
      <c r="B53" s="17" t="s">
        <v>591</v>
      </c>
      <c r="C53" s="18" t="s">
        <v>1391</v>
      </c>
      <c r="D53" s="18" t="s">
        <v>392</v>
      </c>
      <c r="E53" s="18" t="str">
        <f>"0,6169"</f>
        <v>0,6169</v>
      </c>
      <c r="F53" s="18" t="s">
        <v>1540</v>
      </c>
      <c r="G53" s="18" t="s">
        <v>1541</v>
      </c>
      <c r="H53" s="23" t="s">
        <v>12</v>
      </c>
      <c r="I53" s="23" t="s">
        <v>280</v>
      </c>
      <c r="J53" s="23" t="s">
        <v>285</v>
      </c>
      <c r="K53" s="17"/>
      <c r="L53" s="23" t="s">
        <v>95</v>
      </c>
      <c r="M53" s="23" t="s">
        <v>345</v>
      </c>
      <c r="N53" s="17"/>
      <c r="O53" s="17"/>
      <c r="P53" s="17" t="str">
        <f>"355,0"</f>
        <v>355,0</v>
      </c>
      <c r="Q53" s="17" t="str">
        <f>"289,5174"</f>
        <v>289,5174</v>
      </c>
      <c r="R53" s="18" t="s">
        <v>41</v>
      </c>
    </row>
    <row r="54" ht="12.75">
      <c r="B54" s="7" t="s">
        <v>218</v>
      </c>
    </row>
    <row r="55" spans="1:17" ht="15">
      <c r="A55" s="124" t="s">
        <v>1158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</row>
    <row r="56" spans="1:18" ht="12.75">
      <c r="A56" s="13" t="s">
        <v>217</v>
      </c>
      <c r="B56" s="13" t="s">
        <v>626</v>
      </c>
      <c r="C56" s="14" t="s">
        <v>1336</v>
      </c>
      <c r="D56" s="14" t="s">
        <v>627</v>
      </c>
      <c r="E56" s="14" t="str">
        <f>"0,5917"</f>
        <v>0,5917</v>
      </c>
      <c r="F56" s="14" t="s">
        <v>1522</v>
      </c>
      <c r="G56" s="14" t="s">
        <v>1665</v>
      </c>
      <c r="H56" s="16" t="s">
        <v>18</v>
      </c>
      <c r="I56" s="16" t="s">
        <v>76</v>
      </c>
      <c r="J56" s="16" t="s">
        <v>70</v>
      </c>
      <c r="K56" s="13"/>
      <c r="L56" s="16" t="s">
        <v>124</v>
      </c>
      <c r="M56" s="16" t="s">
        <v>105</v>
      </c>
      <c r="N56" s="15" t="s">
        <v>125</v>
      </c>
      <c r="O56" s="13"/>
      <c r="P56" s="13" t="str">
        <f>"445,0"</f>
        <v>445,0</v>
      </c>
      <c r="Q56" s="13" t="str">
        <f>"263,3065"</f>
        <v>263,3065</v>
      </c>
      <c r="R56" s="14" t="s">
        <v>628</v>
      </c>
    </row>
    <row r="57" spans="1:18" ht="12.75">
      <c r="A57" s="19" t="s">
        <v>220</v>
      </c>
      <c r="B57" s="19" t="s">
        <v>596</v>
      </c>
      <c r="C57" s="20" t="s">
        <v>1337</v>
      </c>
      <c r="D57" s="20" t="s">
        <v>597</v>
      </c>
      <c r="E57" s="20" t="str">
        <f>"0,6032"</f>
        <v>0,6032</v>
      </c>
      <c r="F57" s="20" t="s">
        <v>1707</v>
      </c>
      <c r="G57" s="20" t="s">
        <v>896</v>
      </c>
      <c r="H57" s="21" t="s">
        <v>29</v>
      </c>
      <c r="I57" s="21" t="s">
        <v>30</v>
      </c>
      <c r="J57" s="22" t="s">
        <v>22</v>
      </c>
      <c r="K57" s="19"/>
      <c r="L57" s="22" t="s">
        <v>83</v>
      </c>
      <c r="M57" s="21" t="s">
        <v>120</v>
      </c>
      <c r="N57" s="21" t="s">
        <v>173</v>
      </c>
      <c r="O57" s="19"/>
      <c r="P57" s="19" t="str">
        <f>"405,0"</f>
        <v>405,0</v>
      </c>
      <c r="Q57" s="19" t="str">
        <f>"244,2960"</f>
        <v>244,2960</v>
      </c>
      <c r="R57" s="20" t="s">
        <v>41</v>
      </c>
    </row>
    <row r="58" spans="1:18" ht="12.75">
      <c r="A58" s="19" t="s">
        <v>221</v>
      </c>
      <c r="B58" s="19" t="s">
        <v>557</v>
      </c>
      <c r="C58" s="20" t="s">
        <v>1338</v>
      </c>
      <c r="D58" s="20" t="s">
        <v>629</v>
      </c>
      <c r="E58" s="20" t="str">
        <f>"0,5994"</f>
        <v>0,5994</v>
      </c>
      <c r="F58" s="20" t="s">
        <v>861</v>
      </c>
      <c r="G58" s="20" t="s">
        <v>1531</v>
      </c>
      <c r="H58" s="21" t="s">
        <v>357</v>
      </c>
      <c r="I58" s="21" t="s">
        <v>48</v>
      </c>
      <c r="J58" s="22" t="s">
        <v>30</v>
      </c>
      <c r="K58" s="19"/>
      <c r="L58" s="21" t="s">
        <v>65</v>
      </c>
      <c r="M58" s="21" t="s">
        <v>66</v>
      </c>
      <c r="N58" s="22" t="s">
        <v>84</v>
      </c>
      <c r="O58" s="19"/>
      <c r="P58" s="19" t="str">
        <f>"357,5"</f>
        <v>357,5</v>
      </c>
      <c r="Q58" s="19" t="str">
        <f>"214,2855"</f>
        <v>214,2855</v>
      </c>
      <c r="R58" s="20" t="s">
        <v>863</v>
      </c>
    </row>
    <row r="59" spans="1:18" ht="12.75">
      <c r="A59" s="19" t="s">
        <v>219</v>
      </c>
      <c r="B59" s="19" t="s">
        <v>593</v>
      </c>
      <c r="C59" s="20" t="s">
        <v>1339</v>
      </c>
      <c r="D59" s="20" t="s">
        <v>594</v>
      </c>
      <c r="E59" s="20" t="str">
        <f>"0,5910"</f>
        <v>0,5910</v>
      </c>
      <c r="F59" s="20" t="s">
        <v>1522</v>
      </c>
      <c r="G59" s="20" t="s">
        <v>1666</v>
      </c>
      <c r="H59" s="22" t="s">
        <v>35</v>
      </c>
      <c r="I59" s="22" t="s">
        <v>30</v>
      </c>
      <c r="J59" s="22" t="s">
        <v>30</v>
      </c>
      <c r="K59" s="19"/>
      <c r="L59" s="51"/>
      <c r="M59" s="19"/>
      <c r="N59" s="19"/>
      <c r="O59" s="19"/>
      <c r="P59" s="19" t="str">
        <f>"0,0"</f>
        <v>0,0</v>
      </c>
      <c r="Q59" s="19" t="str">
        <f>"0,0000"</f>
        <v>0,0000</v>
      </c>
      <c r="R59" s="20" t="s">
        <v>595</v>
      </c>
    </row>
    <row r="60" spans="1:18" ht="12.75">
      <c r="A60" s="17" t="s">
        <v>217</v>
      </c>
      <c r="B60" s="17" t="s">
        <v>414</v>
      </c>
      <c r="C60" s="18" t="s">
        <v>1419</v>
      </c>
      <c r="D60" s="18" t="s">
        <v>415</v>
      </c>
      <c r="E60" s="18" t="str">
        <f>"0,6055"</f>
        <v>0,6055</v>
      </c>
      <c r="F60" s="18" t="s">
        <v>1522</v>
      </c>
      <c r="G60" s="18" t="s">
        <v>1630</v>
      </c>
      <c r="H60" s="23" t="s">
        <v>17</v>
      </c>
      <c r="I60" s="23" t="s">
        <v>18</v>
      </c>
      <c r="J60" s="23" t="s">
        <v>55</v>
      </c>
      <c r="K60" s="17"/>
      <c r="L60" s="23" t="s">
        <v>30</v>
      </c>
      <c r="M60" s="23" t="s">
        <v>17</v>
      </c>
      <c r="N60" s="23" t="s">
        <v>18</v>
      </c>
      <c r="O60" s="17"/>
      <c r="P60" s="17" t="str">
        <f>"345,0"</f>
        <v>345,0</v>
      </c>
      <c r="Q60" s="17" t="str">
        <f>"228,9517"</f>
        <v>228,9517</v>
      </c>
      <c r="R60" s="18" t="s">
        <v>41</v>
      </c>
    </row>
    <row r="61" ht="12.75">
      <c r="B61" s="7" t="s">
        <v>218</v>
      </c>
    </row>
    <row r="62" spans="1:17" ht="15">
      <c r="A62" s="124" t="s">
        <v>1159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</row>
    <row r="63" spans="1:18" ht="12.75">
      <c r="A63" s="13" t="s">
        <v>217</v>
      </c>
      <c r="B63" s="13" t="s">
        <v>562</v>
      </c>
      <c r="C63" s="14" t="s">
        <v>1340</v>
      </c>
      <c r="D63" s="14" t="s">
        <v>563</v>
      </c>
      <c r="E63" s="14" t="str">
        <f>"0,5761"</f>
        <v>0,5761</v>
      </c>
      <c r="F63" s="14" t="s">
        <v>1522</v>
      </c>
      <c r="G63" s="14" t="s">
        <v>1567</v>
      </c>
      <c r="H63" s="16" t="s">
        <v>190</v>
      </c>
      <c r="I63" s="15" t="s">
        <v>367</v>
      </c>
      <c r="J63" s="16" t="s">
        <v>367</v>
      </c>
      <c r="K63" s="13"/>
      <c r="L63" s="16" t="s">
        <v>135</v>
      </c>
      <c r="M63" s="16" t="s">
        <v>155</v>
      </c>
      <c r="N63" s="15" t="s">
        <v>164</v>
      </c>
      <c r="O63" s="13"/>
      <c r="P63" s="13" t="str">
        <f>"497,5"</f>
        <v>497,5</v>
      </c>
      <c r="Q63" s="13" t="str">
        <f>"286,6097"</f>
        <v>286,6097</v>
      </c>
      <c r="R63" s="14" t="s">
        <v>562</v>
      </c>
    </row>
    <row r="64" spans="1:18" ht="12.75">
      <c r="A64" s="19" t="s">
        <v>220</v>
      </c>
      <c r="B64" s="19" t="s">
        <v>630</v>
      </c>
      <c r="C64" s="20" t="s">
        <v>1341</v>
      </c>
      <c r="D64" s="20" t="s">
        <v>631</v>
      </c>
      <c r="E64" s="20" t="str">
        <f>"0,5775"</f>
        <v>0,5775</v>
      </c>
      <c r="F64" s="20" t="s">
        <v>1522</v>
      </c>
      <c r="G64" s="20" t="s">
        <v>1567</v>
      </c>
      <c r="H64" s="21" t="s">
        <v>527</v>
      </c>
      <c r="I64" s="21" t="s">
        <v>367</v>
      </c>
      <c r="J64" s="22" t="s">
        <v>307</v>
      </c>
      <c r="K64" s="19"/>
      <c r="L64" s="21" t="s">
        <v>124</v>
      </c>
      <c r="M64" s="21" t="s">
        <v>135</v>
      </c>
      <c r="N64" s="22" t="s">
        <v>170</v>
      </c>
      <c r="O64" s="19"/>
      <c r="P64" s="19" t="str">
        <f>"477,5"</f>
        <v>477,5</v>
      </c>
      <c r="Q64" s="19" t="str">
        <f>"275,7562"</f>
        <v>275,7562</v>
      </c>
      <c r="R64" s="20" t="s">
        <v>895</v>
      </c>
    </row>
    <row r="65" spans="1:18" ht="12.75">
      <c r="A65" s="19" t="s">
        <v>217</v>
      </c>
      <c r="B65" s="19" t="s">
        <v>427</v>
      </c>
      <c r="C65" s="20" t="s">
        <v>1420</v>
      </c>
      <c r="D65" s="20" t="s">
        <v>428</v>
      </c>
      <c r="E65" s="20" t="str">
        <f>"0,5815"</f>
        <v>0,5815</v>
      </c>
      <c r="F65" s="20" t="s">
        <v>1540</v>
      </c>
      <c r="G65" s="20" t="s">
        <v>1539</v>
      </c>
      <c r="H65" s="21" t="s">
        <v>17</v>
      </c>
      <c r="I65" s="21" t="s">
        <v>18</v>
      </c>
      <c r="J65" s="22" t="s">
        <v>76</v>
      </c>
      <c r="K65" s="19"/>
      <c r="L65" s="21" t="s">
        <v>83</v>
      </c>
      <c r="M65" s="21" t="s">
        <v>104</v>
      </c>
      <c r="N65" s="22" t="s">
        <v>120</v>
      </c>
      <c r="O65" s="19"/>
      <c r="P65" s="19" t="str">
        <f>"410,0"</f>
        <v>410,0</v>
      </c>
      <c r="Q65" s="19" t="str">
        <f>"238,4150"</f>
        <v>238,4150</v>
      </c>
      <c r="R65" s="20" t="s">
        <v>41</v>
      </c>
    </row>
    <row r="66" spans="1:18" ht="12.75">
      <c r="A66" s="17" t="s">
        <v>217</v>
      </c>
      <c r="B66" s="17" t="s">
        <v>598</v>
      </c>
      <c r="C66" s="18" t="s">
        <v>1396</v>
      </c>
      <c r="D66" s="18" t="s">
        <v>599</v>
      </c>
      <c r="E66" s="18" t="str">
        <f>"0,5828"</f>
        <v>0,5828</v>
      </c>
      <c r="F66" s="18" t="s">
        <v>861</v>
      </c>
      <c r="G66" s="18" t="s">
        <v>1531</v>
      </c>
      <c r="H66" s="23" t="s">
        <v>39</v>
      </c>
      <c r="I66" s="23" t="s">
        <v>44</v>
      </c>
      <c r="J66" s="24" t="s">
        <v>28</v>
      </c>
      <c r="K66" s="17"/>
      <c r="L66" s="23" t="s">
        <v>91</v>
      </c>
      <c r="M66" s="23" t="s">
        <v>120</v>
      </c>
      <c r="N66" s="23" t="s">
        <v>105</v>
      </c>
      <c r="O66" s="17"/>
      <c r="P66" s="17" t="str">
        <f>"385,0"</f>
        <v>385,0</v>
      </c>
      <c r="Q66" s="17" t="str">
        <f>"280,4725"</f>
        <v>280,4725</v>
      </c>
      <c r="R66" s="18" t="s">
        <v>600</v>
      </c>
    </row>
    <row r="67" ht="12.75">
      <c r="B67" s="7" t="s">
        <v>218</v>
      </c>
    </row>
    <row r="68" spans="1:17" ht="15">
      <c r="A68" s="124" t="s">
        <v>1160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</row>
    <row r="69" spans="1:18" ht="12.75">
      <c r="A69" s="13" t="s">
        <v>217</v>
      </c>
      <c r="B69" s="13" t="s">
        <v>433</v>
      </c>
      <c r="C69" s="14" t="s">
        <v>1192</v>
      </c>
      <c r="D69" s="14" t="s">
        <v>434</v>
      </c>
      <c r="E69" s="14" t="str">
        <f>"0,5603"</f>
        <v>0,5603</v>
      </c>
      <c r="F69" s="14" t="s">
        <v>1556</v>
      </c>
      <c r="G69" s="44" t="s">
        <v>1557</v>
      </c>
      <c r="H69" s="55" t="s">
        <v>91</v>
      </c>
      <c r="I69" s="16" t="s">
        <v>84</v>
      </c>
      <c r="J69" s="57" t="s">
        <v>128</v>
      </c>
      <c r="K69" s="13"/>
      <c r="L69" s="56" t="s">
        <v>124</v>
      </c>
      <c r="M69" s="13"/>
      <c r="N69" s="50"/>
      <c r="O69" s="13"/>
      <c r="P69" s="13" t="str">
        <f>"465,0"</f>
        <v>465,0</v>
      </c>
      <c r="Q69" s="13" t="str">
        <f>"260,5395"</f>
        <v>260,5395</v>
      </c>
      <c r="R69" s="14" t="s">
        <v>390</v>
      </c>
    </row>
    <row r="70" spans="1:18" ht="12.75">
      <c r="A70" s="17" t="s">
        <v>217</v>
      </c>
      <c r="B70" s="17" t="s">
        <v>632</v>
      </c>
      <c r="C70" s="18" t="s">
        <v>1445</v>
      </c>
      <c r="D70" s="18" t="s">
        <v>633</v>
      </c>
      <c r="E70" s="18" t="str">
        <f>"0,5639"</f>
        <v>0,5639</v>
      </c>
      <c r="F70" s="18" t="s">
        <v>1522</v>
      </c>
      <c r="G70" s="46" t="s">
        <v>1527</v>
      </c>
      <c r="H70" s="66" t="s">
        <v>22</v>
      </c>
      <c r="I70" s="23" t="s">
        <v>23</v>
      </c>
      <c r="J70" s="63" t="s">
        <v>18</v>
      </c>
      <c r="K70" s="17"/>
      <c r="L70" s="63" t="s">
        <v>66</v>
      </c>
      <c r="M70" s="23" t="s">
        <v>83</v>
      </c>
      <c r="N70" s="52"/>
      <c r="O70" s="17"/>
      <c r="P70" s="17" t="str">
        <f>"400,0"</f>
        <v>400,0</v>
      </c>
      <c r="Q70" s="17" t="str">
        <f>"247,2138"</f>
        <v>247,2138</v>
      </c>
      <c r="R70" s="18" t="s">
        <v>41</v>
      </c>
    </row>
    <row r="71" ht="12.75">
      <c r="B71" s="7" t="s">
        <v>218</v>
      </c>
    </row>
    <row r="72" ht="12.75">
      <c r="B72" s="7" t="s">
        <v>218</v>
      </c>
    </row>
    <row r="73" spans="2:3" ht="18">
      <c r="B73" s="25" t="s">
        <v>1689</v>
      </c>
      <c r="C73" s="25"/>
    </row>
    <row r="74" spans="2:3" ht="15">
      <c r="B74" s="27" t="s">
        <v>1690</v>
      </c>
      <c r="C74" s="27"/>
    </row>
    <row r="75" spans="2:3" ht="14.25">
      <c r="B75" s="28"/>
      <c r="C75" s="29" t="s">
        <v>1193</v>
      </c>
    </row>
    <row r="76" spans="2:6" ht="15">
      <c r="B76" s="4" t="s">
        <v>1134</v>
      </c>
      <c r="C76" s="4" t="s">
        <v>1135</v>
      </c>
      <c r="D76" s="4" t="s">
        <v>1711</v>
      </c>
      <c r="E76" s="4" t="s">
        <v>1145</v>
      </c>
      <c r="F76" s="4" t="s">
        <v>193</v>
      </c>
    </row>
    <row r="77" spans="2:6" ht="12.75">
      <c r="B77" s="7" t="s">
        <v>587</v>
      </c>
      <c r="C77" s="6" t="s">
        <v>1193</v>
      </c>
      <c r="D77" s="7" t="s">
        <v>8</v>
      </c>
      <c r="E77" s="7" t="s">
        <v>634</v>
      </c>
      <c r="F77" s="7" t="s">
        <v>1131</v>
      </c>
    </row>
    <row r="78" spans="2:6" ht="12.75">
      <c r="B78" s="7" t="s">
        <v>624</v>
      </c>
      <c r="C78" s="6" t="s">
        <v>1193</v>
      </c>
      <c r="D78" s="7" t="s">
        <v>8</v>
      </c>
      <c r="E78" s="7" t="s">
        <v>635</v>
      </c>
      <c r="F78" s="7" t="s">
        <v>636</v>
      </c>
    </row>
    <row r="79" spans="2:6" ht="12.75">
      <c r="B79" s="7" t="s">
        <v>577</v>
      </c>
      <c r="C79" s="6" t="s">
        <v>1193</v>
      </c>
      <c r="D79" s="7" t="s">
        <v>53</v>
      </c>
      <c r="E79" s="7" t="s">
        <v>637</v>
      </c>
      <c r="F79" s="7" t="s">
        <v>638</v>
      </c>
    </row>
    <row r="81" spans="2:3" ht="14.25">
      <c r="B81" s="28"/>
      <c r="C81" s="29" t="s">
        <v>1397</v>
      </c>
    </row>
    <row r="82" spans="2:6" ht="15">
      <c r="B82" s="4" t="s">
        <v>1134</v>
      </c>
      <c r="C82" s="4" t="s">
        <v>1135</v>
      </c>
      <c r="D82" s="4" t="s">
        <v>1711</v>
      </c>
      <c r="E82" s="4" t="s">
        <v>1145</v>
      </c>
      <c r="F82" s="4" t="s">
        <v>193</v>
      </c>
    </row>
    <row r="83" spans="2:6" ht="12.75">
      <c r="B83" s="7" t="s">
        <v>513</v>
      </c>
      <c r="C83" s="6" t="s">
        <v>1423</v>
      </c>
      <c r="D83" s="7" t="s">
        <v>58</v>
      </c>
      <c r="E83" s="7" t="s">
        <v>121</v>
      </c>
      <c r="F83" s="7" t="s">
        <v>639</v>
      </c>
    </row>
    <row r="84" spans="2:6" ht="12.75">
      <c r="B84" s="7" t="s">
        <v>591</v>
      </c>
      <c r="C84" s="6" t="s">
        <v>1398</v>
      </c>
      <c r="D84" s="7" t="s">
        <v>21</v>
      </c>
      <c r="E84" s="7" t="s">
        <v>640</v>
      </c>
      <c r="F84" s="7" t="s">
        <v>641</v>
      </c>
    </row>
    <row r="85" spans="2:6" ht="12.75">
      <c r="B85" s="7" t="s">
        <v>327</v>
      </c>
      <c r="C85" s="6" t="s">
        <v>1398</v>
      </c>
      <c r="D85" s="7" t="s">
        <v>58</v>
      </c>
      <c r="E85" s="7" t="s">
        <v>642</v>
      </c>
      <c r="F85" s="7" t="s">
        <v>643</v>
      </c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</sheetData>
  <sheetProtection/>
  <mergeCells count="26">
    <mergeCell ref="A50:Q50"/>
    <mergeCell ref="A55:Q55"/>
    <mergeCell ref="A62:Q62"/>
    <mergeCell ref="A68:Q68"/>
    <mergeCell ref="B3:B4"/>
    <mergeCell ref="A15:Q15"/>
    <mergeCell ref="A18:Q18"/>
    <mergeCell ref="A21:Q21"/>
    <mergeCell ref="A24:Q24"/>
    <mergeCell ref="A34:Q34"/>
    <mergeCell ref="A42:Q42"/>
    <mergeCell ref="P3:P4"/>
    <mergeCell ref="Q3:Q4"/>
    <mergeCell ref="R3:R4"/>
    <mergeCell ref="A5:Q5"/>
    <mergeCell ref="A9:Q9"/>
    <mergeCell ref="A12:Q12"/>
    <mergeCell ref="A1:R2"/>
    <mergeCell ref="A3:A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6"/>
  <sheetViews>
    <sheetView tabSelected="1" zoomScalePageLayoutView="0" workbookViewId="0" topLeftCell="A1">
      <selection activeCell="A5" sqref="A5:K5"/>
    </sheetView>
  </sheetViews>
  <sheetFormatPr defaultColWidth="11.00390625" defaultRowHeight="12.75"/>
  <cols>
    <col min="1" max="1" width="7.375" style="31" bestFit="1" customWidth="1"/>
    <col min="2" max="2" width="20.75390625" style="31" bestFit="1" customWidth="1"/>
    <col min="3" max="3" width="29.00390625" style="31" bestFit="1" customWidth="1"/>
    <col min="4" max="4" width="21.375" style="31" bestFit="1" customWidth="1"/>
    <col min="5" max="5" width="10.625" style="31" bestFit="1" customWidth="1"/>
    <col min="6" max="6" width="16.375" style="31" customWidth="1"/>
    <col min="7" max="7" width="21.00390625" style="31" customWidth="1"/>
    <col min="8" max="8" width="10.25390625" style="7" customWidth="1"/>
    <col min="9" max="9" width="10.375" style="32" bestFit="1" customWidth="1"/>
    <col min="10" max="10" width="8.875" style="7" bestFit="1" customWidth="1"/>
    <col min="11" max="11" width="9.625" style="7" bestFit="1" customWidth="1"/>
    <col min="12" max="12" width="26.125" style="31" customWidth="1"/>
    <col min="13" max="16384" width="9.125" style="30" customWidth="1"/>
  </cols>
  <sheetData>
    <row r="1" spans="1:12" s="5" customFormat="1" ht="28.5" customHeight="1">
      <c r="A1" s="114" t="s">
        <v>1672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s="5" customFormat="1" ht="61.5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s="2" customFormat="1" ht="12.75" customHeight="1">
      <c r="A3" s="121" t="s">
        <v>1132</v>
      </c>
      <c r="B3" s="126" t="s">
        <v>1133</v>
      </c>
      <c r="C3" s="123" t="s">
        <v>1136</v>
      </c>
      <c r="D3" s="123" t="s">
        <v>1138</v>
      </c>
      <c r="E3" s="112" t="s">
        <v>780</v>
      </c>
      <c r="F3" s="112" t="s">
        <v>1139</v>
      </c>
      <c r="G3" s="112" t="s">
        <v>1140</v>
      </c>
      <c r="H3" s="112" t="s">
        <v>1142</v>
      </c>
      <c r="I3" s="112"/>
      <c r="J3" s="112" t="s">
        <v>1521</v>
      </c>
      <c r="K3" s="112" t="s">
        <v>1146</v>
      </c>
      <c r="L3" s="110" t="s">
        <v>1147</v>
      </c>
    </row>
    <row r="4" spans="1:12" s="2" customFormat="1" ht="21" customHeight="1" thickBot="1">
      <c r="A4" s="122"/>
      <c r="B4" s="127"/>
      <c r="C4" s="113"/>
      <c r="D4" s="113"/>
      <c r="E4" s="113"/>
      <c r="F4" s="113"/>
      <c r="G4" s="113"/>
      <c r="H4" s="3" t="s">
        <v>1519</v>
      </c>
      <c r="I4" s="40" t="s">
        <v>1520</v>
      </c>
      <c r="J4" s="113"/>
      <c r="K4" s="113"/>
      <c r="L4" s="111"/>
    </row>
    <row r="5" spans="1:11" ht="15">
      <c r="A5" s="125" t="s">
        <v>1162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2" ht="12.75">
      <c r="A6" s="38" t="s">
        <v>217</v>
      </c>
      <c r="B6" s="13" t="s">
        <v>477</v>
      </c>
      <c r="C6" s="38" t="s">
        <v>1369</v>
      </c>
      <c r="D6" s="38" t="s">
        <v>478</v>
      </c>
      <c r="E6" s="38" t="str">
        <f>"1,3437"</f>
        <v>1,3437</v>
      </c>
      <c r="F6" s="38" t="s">
        <v>1522</v>
      </c>
      <c r="G6" s="38" t="s">
        <v>1567</v>
      </c>
      <c r="H6" s="68" t="s">
        <v>775</v>
      </c>
      <c r="I6" s="69" t="s">
        <v>776</v>
      </c>
      <c r="J6" s="13" t="str">
        <f>"540,0"</f>
        <v>540,0</v>
      </c>
      <c r="K6" s="13" t="str">
        <f>"725,5980"</f>
        <v>725,5980</v>
      </c>
      <c r="L6" s="38" t="s">
        <v>897</v>
      </c>
    </row>
    <row r="7" spans="1:12" ht="12.75">
      <c r="A7" s="36" t="s">
        <v>220</v>
      </c>
      <c r="B7" s="17" t="s">
        <v>481</v>
      </c>
      <c r="C7" s="36" t="s">
        <v>1370</v>
      </c>
      <c r="D7" s="36" t="s">
        <v>482</v>
      </c>
      <c r="E7" s="36" t="str">
        <f>"1,3437"</f>
        <v>1,3437</v>
      </c>
      <c r="F7" s="36" t="s">
        <v>1522</v>
      </c>
      <c r="G7" s="36" t="s">
        <v>1567</v>
      </c>
      <c r="H7" s="70" t="s">
        <v>775</v>
      </c>
      <c r="I7" s="71" t="s">
        <v>774</v>
      </c>
      <c r="J7" s="17" t="str">
        <f>"480,0"</f>
        <v>480,0</v>
      </c>
      <c r="K7" s="17" t="str">
        <f>"644,9760"</f>
        <v>644,9760</v>
      </c>
      <c r="L7" s="36" t="s">
        <v>484</v>
      </c>
    </row>
    <row r="8" ht="12.75">
      <c r="B8" s="31" t="s">
        <v>218</v>
      </c>
    </row>
    <row r="9" spans="1:11" ht="15">
      <c r="A9" s="124" t="s">
        <v>1152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2" ht="12.75">
      <c r="A10" s="34" t="s">
        <v>217</v>
      </c>
      <c r="B10" s="8" t="s">
        <v>768</v>
      </c>
      <c r="C10" s="34" t="s">
        <v>1353</v>
      </c>
      <c r="D10" s="34" t="s">
        <v>773</v>
      </c>
      <c r="E10" s="34" t="str">
        <f>"0,9300"</f>
        <v>0,9300</v>
      </c>
      <c r="F10" s="34" t="s">
        <v>1522</v>
      </c>
      <c r="G10" s="34" t="s">
        <v>1567</v>
      </c>
      <c r="H10" s="72" t="s">
        <v>480</v>
      </c>
      <c r="I10" s="73" t="s">
        <v>772</v>
      </c>
      <c r="J10" s="8" t="str">
        <f>"1332,5"</f>
        <v>1332,5</v>
      </c>
      <c r="K10" s="8" t="str">
        <f>"1239,2250"</f>
        <v>1239,2250</v>
      </c>
      <c r="L10" s="34" t="s">
        <v>893</v>
      </c>
    </row>
    <row r="11" ht="12.75">
      <c r="B11" s="31" t="s">
        <v>218</v>
      </c>
    </row>
    <row r="12" spans="1:11" ht="15">
      <c r="A12" s="124" t="s">
        <v>1154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64" s="33" customFormat="1" ht="12.75">
      <c r="A13" s="38" t="s">
        <v>217</v>
      </c>
      <c r="B13" s="13" t="s">
        <v>766</v>
      </c>
      <c r="C13" s="38" t="s">
        <v>1476</v>
      </c>
      <c r="D13" s="38" t="s">
        <v>525</v>
      </c>
      <c r="E13" s="38" t="str">
        <f>"0,6658"</f>
        <v>0,6658</v>
      </c>
      <c r="F13" s="38" t="s">
        <v>1522</v>
      </c>
      <c r="G13" s="38" t="s">
        <v>1567</v>
      </c>
      <c r="H13" s="68" t="s">
        <v>6</v>
      </c>
      <c r="I13" s="69" t="s">
        <v>771</v>
      </c>
      <c r="J13" s="13" t="str">
        <f>"1520,0"</f>
        <v>1520,0</v>
      </c>
      <c r="K13" s="13" t="str">
        <f>"1012,0920"</f>
        <v>1012,0920</v>
      </c>
      <c r="L13" s="38" t="s">
        <v>770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s="33" customFormat="1" ht="12.75">
      <c r="A14" s="36" t="s">
        <v>220</v>
      </c>
      <c r="B14" s="17" t="s">
        <v>765</v>
      </c>
      <c r="C14" s="36" t="s">
        <v>1477</v>
      </c>
      <c r="D14" s="36" t="s">
        <v>525</v>
      </c>
      <c r="E14" s="36" t="str">
        <f>"0,6658"</f>
        <v>0,6658</v>
      </c>
      <c r="F14" s="36" t="s">
        <v>1522</v>
      </c>
      <c r="G14" s="36" t="s">
        <v>1567</v>
      </c>
      <c r="H14" s="70" t="s">
        <v>6</v>
      </c>
      <c r="I14" s="71" t="s">
        <v>769</v>
      </c>
      <c r="J14" s="17" t="str">
        <f>"1160,0"</f>
        <v>1160,0</v>
      </c>
      <c r="K14" s="17" t="str">
        <f>"772,3860"</f>
        <v>772,3860</v>
      </c>
      <c r="L14" s="36" t="s">
        <v>900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ht="12.75">
      <c r="B15" s="31" t="s">
        <v>218</v>
      </c>
    </row>
    <row r="16" ht="12.75">
      <c r="B16" s="31" t="s">
        <v>218</v>
      </c>
    </row>
  </sheetData>
  <sheetProtection/>
  <mergeCells count="15">
    <mergeCell ref="F3:F4"/>
    <mergeCell ref="G3:G4"/>
    <mergeCell ref="H3:I3"/>
    <mergeCell ref="J3:J4"/>
    <mergeCell ref="K3:K4"/>
    <mergeCell ref="L3:L4"/>
    <mergeCell ref="A5:K5"/>
    <mergeCell ref="A9:K9"/>
    <mergeCell ref="A12:K12"/>
    <mergeCell ref="B3:B4"/>
    <mergeCell ref="A1:L2"/>
    <mergeCell ref="A3:A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3" sqref="A3:A4"/>
    </sheetView>
  </sheetViews>
  <sheetFormatPr defaultColWidth="11.00390625" defaultRowHeight="12.75"/>
  <cols>
    <col min="1" max="1" width="7.375" style="31" bestFit="1" customWidth="1"/>
    <col min="2" max="2" width="24.875" style="31" bestFit="1" customWidth="1"/>
    <col min="3" max="3" width="28.625" style="31" bestFit="1" customWidth="1"/>
    <col min="4" max="4" width="18.00390625" style="31" customWidth="1"/>
    <col min="5" max="5" width="10.625" style="31" bestFit="1" customWidth="1"/>
    <col min="6" max="6" width="21.125" style="31" customWidth="1"/>
    <col min="7" max="7" width="36.75390625" style="31" bestFit="1" customWidth="1"/>
    <col min="8" max="8" width="9.125" style="7" customWidth="1"/>
    <col min="9" max="9" width="10.375" style="32" bestFit="1" customWidth="1"/>
    <col min="10" max="10" width="8.875" style="7" bestFit="1" customWidth="1"/>
    <col min="11" max="11" width="9.625" style="7" bestFit="1" customWidth="1"/>
    <col min="12" max="12" width="28.875" style="31" bestFit="1" customWidth="1"/>
    <col min="13" max="16384" width="9.125" style="30" customWidth="1"/>
  </cols>
  <sheetData>
    <row r="1" spans="1:12" s="5" customFormat="1" ht="28.5" customHeight="1">
      <c r="A1" s="114" t="s">
        <v>1673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s="5" customFormat="1" ht="61.5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s="2" customFormat="1" ht="12.75" customHeight="1">
      <c r="A3" s="121" t="s">
        <v>1132</v>
      </c>
      <c r="B3" s="126" t="s">
        <v>1133</v>
      </c>
      <c r="C3" s="123" t="s">
        <v>1136</v>
      </c>
      <c r="D3" s="123" t="s">
        <v>1138</v>
      </c>
      <c r="E3" s="112" t="s">
        <v>780</v>
      </c>
      <c r="F3" s="112" t="s">
        <v>1139</v>
      </c>
      <c r="G3" s="112" t="s">
        <v>1140</v>
      </c>
      <c r="H3" s="112" t="s">
        <v>1142</v>
      </c>
      <c r="I3" s="112"/>
      <c r="J3" s="112" t="s">
        <v>779</v>
      </c>
      <c r="K3" s="112" t="s">
        <v>1146</v>
      </c>
      <c r="L3" s="110" t="s">
        <v>1147</v>
      </c>
    </row>
    <row r="4" spans="1:12" s="2" customFormat="1" ht="21" customHeight="1" thickBot="1">
      <c r="A4" s="122"/>
      <c r="B4" s="127"/>
      <c r="C4" s="113"/>
      <c r="D4" s="113"/>
      <c r="E4" s="113"/>
      <c r="F4" s="113"/>
      <c r="G4" s="113"/>
      <c r="H4" s="3" t="s">
        <v>778</v>
      </c>
      <c r="I4" s="40" t="s">
        <v>777</v>
      </c>
      <c r="J4" s="113"/>
      <c r="K4" s="113"/>
      <c r="L4" s="111"/>
    </row>
    <row r="5" spans="1:11" ht="15">
      <c r="A5" s="125" t="s">
        <v>1149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2" ht="12.75">
      <c r="A6" s="34" t="s">
        <v>217</v>
      </c>
      <c r="B6" s="8" t="s">
        <v>244</v>
      </c>
      <c r="C6" s="34" t="s">
        <v>1218</v>
      </c>
      <c r="D6" s="34" t="s">
        <v>245</v>
      </c>
      <c r="E6" s="34" t="str">
        <f>"1,1352"</f>
        <v>1,1352</v>
      </c>
      <c r="F6" s="34" t="s">
        <v>1538</v>
      </c>
      <c r="G6" s="34" t="s">
        <v>1539</v>
      </c>
      <c r="H6" s="10" t="s">
        <v>254</v>
      </c>
      <c r="I6" s="35" t="s">
        <v>848</v>
      </c>
      <c r="J6" s="8" t="str">
        <f>"1155,0"</f>
        <v>1155,0</v>
      </c>
      <c r="K6" s="8" t="str">
        <f>"1311,1560"</f>
        <v>1311,1560</v>
      </c>
      <c r="L6" s="34" t="s">
        <v>246</v>
      </c>
    </row>
    <row r="7" ht="12.75">
      <c r="B7" s="31" t="s">
        <v>218</v>
      </c>
    </row>
    <row r="8" spans="1:11" ht="15">
      <c r="A8" s="124" t="s">
        <v>1151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2" ht="12.75">
      <c r="A9" s="34" t="s">
        <v>217</v>
      </c>
      <c r="B9" s="8" t="s">
        <v>491</v>
      </c>
      <c r="C9" s="34" t="s">
        <v>1343</v>
      </c>
      <c r="D9" s="34" t="s">
        <v>492</v>
      </c>
      <c r="E9" s="34" t="str">
        <f>"1,0277"</f>
        <v>1,0277</v>
      </c>
      <c r="F9" s="34" t="s">
        <v>1538</v>
      </c>
      <c r="G9" s="34" t="s">
        <v>1539</v>
      </c>
      <c r="H9" s="10" t="s">
        <v>234</v>
      </c>
      <c r="I9" s="35" t="s">
        <v>847</v>
      </c>
      <c r="J9" s="8" t="str">
        <f>"920,0"</f>
        <v>920,0</v>
      </c>
      <c r="K9" s="8" t="str">
        <f>"945,4840"</f>
        <v>945,4840</v>
      </c>
      <c r="L9" s="34" t="s">
        <v>493</v>
      </c>
    </row>
    <row r="10" ht="12.75">
      <c r="B10" s="31" t="s">
        <v>218</v>
      </c>
    </row>
    <row r="11" spans="1:11" ht="15">
      <c r="A11" s="124" t="s">
        <v>1151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2" ht="12.75">
      <c r="A12" s="34" t="s">
        <v>217</v>
      </c>
      <c r="B12" s="8" t="s">
        <v>497</v>
      </c>
      <c r="C12" s="34" t="s">
        <v>1354</v>
      </c>
      <c r="D12" s="34" t="s">
        <v>498</v>
      </c>
      <c r="E12" s="34" t="str">
        <f>"0,8356"</f>
        <v>0,8356</v>
      </c>
      <c r="F12" s="34" t="s">
        <v>1522</v>
      </c>
      <c r="G12" s="34" t="s">
        <v>1667</v>
      </c>
      <c r="H12" s="10" t="s">
        <v>53</v>
      </c>
      <c r="I12" s="35" t="s">
        <v>772</v>
      </c>
      <c r="J12" s="8" t="str">
        <f>"2460,0"</f>
        <v>2460,0</v>
      </c>
      <c r="K12" s="8" t="str">
        <f>"2055,4530"</f>
        <v>2055,4530</v>
      </c>
      <c r="L12" s="34" t="s">
        <v>41</v>
      </c>
    </row>
    <row r="13" ht="12.75">
      <c r="B13" s="31" t="s">
        <v>218</v>
      </c>
    </row>
    <row r="14" spans="1:11" ht="15">
      <c r="A14" s="124" t="s">
        <v>1152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2" ht="12.75">
      <c r="A15" s="38" t="s">
        <v>217</v>
      </c>
      <c r="B15" s="13" t="s">
        <v>499</v>
      </c>
      <c r="C15" s="38" t="s">
        <v>1478</v>
      </c>
      <c r="D15" s="38" t="s">
        <v>500</v>
      </c>
      <c r="E15" s="38" t="str">
        <f>"0,7531"</f>
        <v>0,7531</v>
      </c>
      <c r="F15" s="38" t="s">
        <v>1522</v>
      </c>
      <c r="G15" s="38" t="s">
        <v>1567</v>
      </c>
      <c r="H15" s="16" t="s">
        <v>54</v>
      </c>
      <c r="I15" s="39" t="s">
        <v>823</v>
      </c>
      <c r="J15" s="13" t="str">
        <f>"1147,5"</f>
        <v>1147,5</v>
      </c>
      <c r="K15" s="13" t="str">
        <f>"864,2396"</f>
        <v>864,2396</v>
      </c>
      <c r="L15" s="38" t="s">
        <v>898</v>
      </c>
    </row>
    <row r="16" spans="1:12" ht="12.75">
      <c r="A16" s="41" t="s">
        <v>217</v>
      </c>
      <c r="B16" s="19" t="s">
        <v>501</v>
      </c>
      <c r="C16" s="41" t="s">
        <v>1344</v>
      </c>
      <c r="D16" s="41" t="s">
        <v>38</v>
      </c>
      <c r="E16" s="41" t="str">
        <f>"0,7702"</f>
        <v>0,7702</v>
      </c>
      <c r="F16" s="41" t="s">
        <v>1708</v>
      </c>
      <c r="G16" s="41" t="s">
        <v>1709</v>
      </c>
      <c r="H16" s="21" t="s">
        <v>54</v>
      </c>
      <c r="I16" s="42" t="s">
        <v>6</v>
      </c>
      <c r="J16" s="19" t="str">
        <f>"2700,0"</f>
        <v>2700,0</v>
      </c>
      <c r="K16" s="19" t="str">
        <f>"2079,4050"</f>
        <v>2079,4050</v>
      </c>
      <c r="L16" s="41" t="s">
        <v>100</v>
      </c>
    </row>
    <row r="17" spans="1:12" ht="12.75">
      <c r="A17" s="36" t="s">
        <v>220</v>
      </c>
      <c r="B17" s="17" t="s">
        <v>846</v>
      </c>
      <c r="C17" s="36" t="s">
        <v>1342</v>
      </c>
      <c r="D17" s="36" t="s">
        <v>79</v>
      </c>
      <c r="E17" s="36" t="str">
        <f>"0,7630"</f>
        <v>0,7630</v>
      </c>
      <c r="F17" s="36" t="s">
        <v>1522</v>
      </c>
      <c r="G17" s="36" t="s">
        <v>1674</v>
      </c>
      <c r="H17" s="23" t="s">
        <v>54</v>
      </c>
      <c r="I17" s="37" t="s">
        <v>830</v>
      </c>
      <c r="J17" s="17" t="str">
        <f>"2295,0"</f>
        <v>2295,0</v>
      </c>
      <c r="K17" s="17" t="str">
        <f>"1751,0850"</f>
        <v>1751,0850</v>
      </c>
      <c r="L17" s="36" t="s">
        <v>845</v>
      </c>
    </row>
    <row r="18" ht="12.75">
      <c r="B18" s="31" t="s">
        <v>218</v>
      </c>
    </row>
    <row r="19" spans="1:11" ht="15">
      <c r="A19" s="124" t="s">
        <v>1153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2" ht="12.75">
      <c r="A20" s="38" t="s">
        <v>217</v>
      </c>
      <c r="B20" s="13" t="s">
        <v>793</v>
      </c>
      <c r="C20" s="38" t="s">
        <v>1355</v>
      </c>
      <c r="D20" s="38" t="s">
        <v>844</v>
      </c>
      <c r="E20" s="38" t="str">
        <f>"0,7475"</f>
        <v>0,7475</v>
      </c>
      <c r="F20" s="38" t="s">
        <v>1522</v>
      </c>
      <c r="G20" s="38" t="s">
        <v>1669</v>
      </c>
      <c r="H20" s="16" t="s">
        <v>3</v>
      </c>
      <c r="I20" s="39" t="s">
        <v>34</v>
      </c>
      <c r="J20" s="13" t="str">
        <f>"8400,0"</f>
        <v>8400,0</v>
      </c>
      <c r="K20" s="13" t="str">
        <f>"6279,0000"</f>
        <v>6279,0000</v>
      </c>
      <c r="L20" s="38" t="s">
        <v>41</v>
      </c>
    </row>
    <row r="21" spans="1:12" ht="12.75">
      <c r="A21" s="41" t="s">
        <v>220</v>
      </c>
      <c r="B21" s="19" t="s">
        <v>843</v>
      </c>
      <c r="C21" s="41" t="s">
        <v>1356</v>
      </c>
      <c r="D21" s="41" t="s">
        <v>842</v>
      </c>
      <c r="E21" s="41" t="str">
        <f>"0,6892"</f>
        <v>0,6892</v>
      </c>
      <c r="F21" s="41" t="s">
        <v>1522</v>
      </c>
      <c r="G21" s="41" t="s">
        <v>1675</v>
      </c>
      <c r="H21" s="21" t="s">
        <v>58</v>
      </c>
      <c r="I21" s="42" t="s">
        <v>841</v>
      </c>
      <c r="J21" s="19" t="str">
        <f>"4425,0"</f>
        <v>4425,0</v>
      </c>
      <c r="K21" s="19" t="str">
        <f>"3049,7099"</f>
        <v>3049,7099</v>
      </c>
      <c r="L21" s="41" t="s">
        <v>41</v>
      </c>
    </row>
    <row r="22" spans="1:12" ht="12.75">
      <c r="A22" s="41" t="s">
        <v>221</v>
      </c>
      <c r="B22" s="19" t="s">
        <v>506</v>
      </c>
      <c r="C22" s="41" t="s">
        <v>1345</v>
      </c>
      <c r="D22" s="41" t="s">
        <v>507</v>
      </c>
      <c r="E22" s="41" t="str">
        <f>"0,6899"</f>
        <v>0,6899</v>
      </c>
      <c r="F22" s="41" t="s">
        <v>1522</v>
      </c>
      <c r="G22" s="41" t="s">
        <v>1525</v>
      </c>
      <c r="H22" s="21" t="s">
        <v>58</v>
      </c>
      <c r="I22" s="42" t="s">
        <v>840</v>
      </c>
      <c r="J22" s="19" t="str">
        <f>"3450,0"</f>
        <v>3450,0</v>
      </c>
      <c r="K22" s="19" t="str">
        <f>"2380,1549"</f>
        <v>2380,1549</v>
      </c>
      <c r="L22" s="41" t="s">
        <v>508</v>
      </c>
    </row>
    <row r="23" spans="1:12" ht="12.75">
      <c r="A23" s="41" t="s">
        <v>222</v>
      </c>
      <c r="B23" s="19" t="s">
        <v>582</v>
      </c>
      <c r="C23" s="41" t="s">
        <v>1175</v>
      </c>
      <c r="D23" s="41" t="s">
        <v>321</v>
      </c>
      <c r="E23" s="41" t="str">
        <f>"0,6947"</f>
        <v>0,6947</v>
      </c>
      <c r="F23" s="41" t="s">
        <v>1706</v>
      </c>
      <c r="G23" s="41" t="s">
        <v>1705</v>
      </c>
      <c r="H23" s="21" t="s">
        <v>58</v>
      </c>
      <c r="I23" s="42" t="s">
        <v>826</v>
      </c>
      <c r="J23" s="19" t="str">
        <f>"2325,0"</f>
        <v>2325,0</v>
      </c>
      <c r="K23" s="19" t="str">
        <f>"1615,1775"</f>
        <v>1615,1775</v>
      </c>
      <c r="L23" s="41" t="s">
        <v>41</v>
      </c>
    </row>
    <row r="24" spans="1:12" ht="12.75">
      <c r="A24" s="41" t="s">
        <v>223</v>
      </c>
      <c r="B24" s="19" t="s">
        <v>839</v>
      </c>
      <c r="C24" s="41" t="s">
        <v>1357</v>
      </c>
      <c r="D24" s="41" t="s">
        <v>512</v>
      </c>
      <c r="E24" s="41" t="str">
        <f>"0,6969"</f>
        <v>0,6969</v>
      </c>
      <c r="F24" s="41" t="s">
        <v>1522</v>
      </c>
      <c r="G24" s="41" t="s">
        <v>1676</v>
      </c>
      <c r="H24" s="21" t="s">
        <v>58</v>
      </c>
      <c r="I24" s="42" t="s">
        <v>769</v>
      </c>
      <c r="J24" s="19" t="str">
        <f>"2175,0"</f>
        <v>2175,0</v>
      </c>
      <c r="K24" s="19" t="str">
        <f>"1515,6488"</f>
        <v>1515,6488</v>
      </c>
      <c r="L24" s="41" t="s">
        <v>41</v>
      </c>
    </row>
    <row r="25" spans="1:12" ht="12.75">
      <c r="A25" s="41" t="s">
        <v>217</v>
      </c>
      <c r="B25" s="19" t="s">
        <v>887</v>
      </c>
      <c r="C25" s="41" t="s">
        <v>1446</v>
      </c>
      <c r="D25" s="41" t="s">
        <v>90</v>
      </c>
      <c r="E25" s="41" t="str">
        <f>"0,6934"</f>
        <v>0,6934</v>
      </c>
      <c r="F25" s="41" t="s">
        <v>1559</v>
      </c>
      <c r="G25" s="41" t="s">
        <v>1560</v>
      </c>
      <c r="H25" s="21" t="s">
        <v>58</v>
      </c>
      <c r="I25" s="42" t="s">
        <v>6</v>
      </c>
      <c r="J25" s="19" t="str">
        <f>"3000,0"</f>
        <v>3000,0</v>
      </c>
      <c r="K25" s="19" t="str">
        <f>"2144,5316"</f>
        <v>2144,5316</v>
      </c>
      <c r="L25" s="41" t="s">
        <v>41</v>
      </c>
    </row>
    <row r="26" spans="1:12" ht="12.75">
      <c r="A26" s="36" t="s">
        <v>220</v>
      </c>
      <c r="B26" s="17" t="s">
        <v>509</v>
      </c>
      <c r="C26" s="36" t="s">
        <v>1447</v>
      </c>
      <c r="D26" s="36" t="s">
        <v>510</v>
      </c>
      <c r="E26" s="36" t="str">
        <f>"0,7005"</f>
        <v>0,7005</v>
      </c>
      <c r="F26" s="36" t="s">
        <v>1522</v>
      </c>
      <c r="G26" s="36" t="s">
        <v>1668</v>
      </c>
      <c r="H26" s="23" t="s">
        <v>58</v>
      </c>
      <c r="I26" s="37" t="s">
        <v>5</v>
      </c>
      <c r="J26" s="17" t="str">
        <f>"2625,0"</f>
        <v>2625,0</v>
      </c>
      <c r="K26" s="17" t="str">
        <f>"1875,4549"</f>
        <v>1875,4549</v>
      </c>
      <c r="L26" s="36" t="s">
        <v>511</v>
      </c>
    </row>
    <row r="27" ht="12.75">
      <c r="B27" s="31" t="s">
        <v>218</v>
      </c>
    </row>
    <row r="28" spans="1:11" ht="15">
      <c r="A28" s="124" t="s">
        <v>1154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2" ht="12.75">
      <c r="A29" s="38" t="s">
        <v>217</v>
      </c>
      <c r="B29" s="13" t="s">
        <v>515</v>
      </c>
      <c r="C29" s="38" t="s">
        <v>1511</v>
      </c>
      <c r="D29" s="38" t="s">
        <v>517</v>
      </c>
      <c r="E29" s="38" t="str">
        <f>"0,6477"</f>
        <v>0,6477</v>
      </c>
      <c r="F29" s="38" t="s">
        <v>1708</v>
      </c>
      <c r="G29" s="38" t="s">
        <v>1710</v>
      </c>
      <c r="H29" s="16" t="s">
        <v>46</v>
      </c>
      <c r="I29" s="39" t="s">
        <v>836</v>
      </c>
      <c r="J29" s="13" t="str">
        <f>"3547,5"</f>
        <v>3547,5</v>
      </c>
      <c r="K29" s="13" t="str">
        <f>"2297,5384"</f>
        <v>2297,5384</v>
      </c>
      <c r="L29" s="38" t="s">
        <v>516</v>
      </c>
    </row>
    <row r="30" spans="1:12" ht="12.75">
      <c r="A30" s="41" t="s">
        <v>220</v>
      </c>
      <c r="B30" s="19" t="s">
        <v>799</v>
      </c>
      <c r="C30" s="41" t="s">
        <v>1512</v>
      </c>
      <c r="D30" s="41" t="s">
        <v>123</v>
      </c>
      <c r="E30" s="41" t="str">
        <f>"0,6635"</f>
        <v>0,6635</v>
      </c>
      <c r="F30" s="41" t="s">
        <v>1522</v>
      </c>
      <c r="G30" s="41" t="s">
        <v>1663</v>
      </c>
      <c r="H30" s="21" t="s">
        <v>4</v>
      </c>
      <c r="I30" s="42" t="s">
        <v>808</v>
      </c>
      <c r="J30" s="19" t="str">
        <f>"2080,0"</f>
        <v>2080,0</v>
      </c>
      <c r="K30" s="19" t="str">
        <f>"1380,0800"</f>
        <v>1380,0800</v>
      </c>
      <c r="L30" s="41" t="s">
        <v>579</v>
      </c>
    </row>
    <row r="31" spans="1:12" ht="12.75">
      <c r="A31" s="41" t="s">
        <v>217</v>
      </c>
      <c r="B31" s="19" t="s">
        <v>514</v>
      </c>
      <c r="C31" s="41" t="s">
        <v>1346</v>
      </c>
      <c r="D31" s="41" t="s">
        <v>838</v>
      </c>
      <c r="E31" s="41" t="str">
        <f>"0,6497"</f>
        <v>0,6497</v>
      </c>
      <c r="F31" s="41" t="s">
        <v>1708</v>
      </c>
      <c r="G31" s="41" t="s">
        <v>1709</v>
      </c>
      <c r="H31" s="21" t="s">
        <v>46</v>
      </c>
      <c r="I31" s="42" t="s">
        <v>837</v>
      </c>
      <c r="J31" s="19" t="str">
        <f>"4207,5"</f>
        <v>4207,5</v>
      </c>
      <c r="K31" s="19" t="str">
        <f>"2733,8231"</f>
        <v>2733,8231</v>
      </c>
      <c r="L31" s="41" t="s">
        <v>100</v>
      </c>
    </row>
    <row r="32" spans="1:12" ht="12.75">
      <c r="A32" s="41" t="s">
        <v>220</v>
      </c>
      <c r="B32" s="19" t="s">
        <v>515</v>
      </c>
      <c r="C32" s="41" t="s">
        <v>1347</v>
      </c>
      <c r="D32" s="41" t="s">
        <v>517</v>
      </c>
      <c r="E32" s="41" t="str">
        <f>"0,6477"</f>
        <v>0,6477</v>
      </c>
      <c r="F32" s="41" t="s">
        <v>1708</v>
      </c>
      <c r="G32" s="41" t="s">
        <v>1710</v>
      </c>
      <c r="H32" s="21" t="s">
        <v>46</v>
      </c>
      <c r="I32" s="42" t="s">
        <v>836</v>
      </c>
      <c r="J32" s="19" t="str">
        <f>"3547,5"</f>
        <v>3547,5</v>
      </c>
      <c r="K32" s="19" t="str">
        <f>"2297,5384"</f>
        <v>2297,5384</v>
      </c>
      <c r="L32" s="41" t="s">
        <v>516</v>
      </c>
    </row>
    <row r="33" spans="1:12" ht="12.75">
      <c r="A33" s="41" t="s">
        <v>221</v>
      </c>
      <c r="B33" s="19" t="s">
        <v>174</v>
      </c>
      <c r="C33" s="41" t="s">
        <v>1358</v>
      </c>
      <c r="D33" s="41" t="s">
        <v>835</v>
      </c>
      <c r="E33" s="41" t="str">
        <f>"0,6743"</f>
        <v>0,6743</v>
      </c>
      <c r="F33" s="41" t="s">
        <v>1547</v>
      </c>
      <c r="G33" s="41" t="s">
        <v>1554</v>
      </c>
      <c r="H33" s="21" t="s">
        <v>485</v>
      </c>
      <c r="I33" s="42" t="s">
        <v>830</v>
      </c>
      <c r="J33" s="19" t="str">
        <f>"2635,0"</f>
        <v>2635,0</v>
      </c>
      <c r="K33" s="19" t="str">
        <f>"1776,6488"</f>
        <v>1776,6488</v>
      </c>
      <c r="L33" s="41" t="s">
        <v>574</v>
      </c>
    </row>
    <row r="34" spans="1:12" ht="12.75">
      <c r="A34" s="41" t="s">
        <v>222</v>
      </c>
      <c r="B34" s="19" t="s">
        <v>834</v>
      </c>
      <c r="C34" s="41" t="s">
        <v>1359</v>
      </c>
      <c r="D34" s="41" t="s">
        <v>518</v>
      </c>
      <c r="E34" s="41" t="str">
        <f>"0,6550"</f>
        <v>0,6550</v>
      </c>
      <c r="F34" s="41" t="s">
        <v>1522</v>
      </c>
      <c r="G34" s="41" t="s">
        <v>1567</v>
      </c>
      <c r="H34" s="21" t="s">
        <v>46</v>
      </c>
      <c r="I34" s="42" t="s">
        <v>833</v>
      </c>
      <c r="J34" s="19" t="str">
        <f>"2640,0"</f>
        <v>2640,0</v>
      </c>
      <c r="K34" s="19" t="str">
        <f>"1729,3319"</f>
        <v>1729,3319</v>
      </c>
      <c r="L34" s="41" t="s">
        <v>41</v>
      </c>
    </row>
    <row r="35" spans="1:12" ht="12.75">
      <c r="A35" s="41" t="s">
        <v>217</v>
      </c>
      <c r="B35" s="19" t="s">
        <v>832</v>
      </c>
      <c r="C35" s="41" t="s">
        <v>1448</v>
      </c>
      <c r="D35" s="41" t="s">
        <v>134</v>
      </c>
      <c r="E35" s="41" t="str">
        <f>"0,6503"</f>
        <v>0,6503</v>
      </c>
      <c r="F35" s="41" t="s">
        <v>1522</v>
      </c>
      <c r="G35" s="41" t="s">
        <v>1677</v>
      </c>
      <c r="H35" s="21" t="s">
        <v>46</v>
      </c>
      <c r="I35" s="42" t="s">
        <v>5</v>
      </c>
      <c r="J35" s="19" t="str">
        <f>"2887,5"</f>
        <v>2887,5</v>
      </c>
      <c r="K35" s="19" t="str">
        <f>"1877,5969"</f>
        <v>1877,5969</v>
      </c>
      <c r="L35" s="41" t="s">
        <v>831</v>
      </c>
    </row>
    <row r="36" spans="1:12" ht="12.75">
      <c r="A36" s="36" t="s">
        <v>217</v>
      </c>
      <c r="B36" s="17" t="s">
        <v>524</v>
      </c>
      <c r="C36" s="36" t="s">
        <v>1449</v>
      </c>
      <c r="D36" s="36" t="s">
        <v>525</v>
      </c>
      <c r="E36" s="36" t="str">
        <f>"0,6658"</f>
        <v>0,6658</v>
      </c>
      <c r="F36" s="36" t="s">
        <v>1522</v>
      </c>
      <c r="G36" s="36" t="s">
        <v>1637</v>
      </c>
      <c r="H36" s="23" t="s">
        <v>4</v>
      </c>
      <c r="I36" s="37" t="s">
        <v>830</v>
      </c>
      <c r="J36" s="17" t="str">
        <f>"2720,0"</f>
        <v>2720,0</v>
      </c>
      <c r="K36" s="17" t="str">
        <f>"2296,4900"</f>
        <v>2296,4900</v>
      </c>
      <c r="L36" s="36" t="s">
        <v>41</v>
      </c>
    </row>
    <row r="37" ht="12.75">
      <c r="B37" s="31" t="s">
        <v>218</v>
      </c>
    </row>
    <row r="38" spans="1:11" ht="15">
      <c r="A38" s="124" t="s">
        <v>1156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</row>
    <row r="39" spans="1:12" ht="12.75">
      <c r="A39" s="38" t="s">
        <v>217</v>
      </c>
      <c r="B39" s="13" t="s">
        <v>829</v>
      </c>
      <c r="C39" s="38" t="s">
        <v>1513</v>
      </c>
      <c r="D39" s="38" t="s">
        <v>660</v>
      </c>
      <c r="E39" s="38" t="str">
        <f>"0,6177"</f>
        <v>0,6177</v>
      </c>
      <c r="F39" s="38" t="s">
        <v>1522</v>
      </c>
      <c r="G39" s="38" t="s">
        <v>1678</v>
      </c>
      <c r="H39" s="16" t="s">
        <v>8</v>
      </c>
      <c r="I39" s="39" t="s">
        <v>828</v>
      </c>
      <c r="J39" s="13" t="str">
        <f>"2070,0"</f>
        <v>2070,0</v>
      </c>
      <c r="K39" s="13" t="str">
        <f>"1278,6390"</f>
        <v>1278,6390</v>
      </c>
      <c r="L39" s="38" t="s">
        <v>41</v>
      </c>
    </row>
    <row r="40" spans="1:12" ht="12.75">
      <c r="A40" s="41" t="s">
        <v>217</v>
      </c>
      <c r="B40" s="19" t="s">
        <v>796</v>
      </c>
      <c r="C40" s="41" t="s">
        <v>1360</v>
      </c>
      <c r="D40" s="41" t="s">
        <v>607</v>
      </c>
      <c r="E40" s="41" t="str">
        <f>"0,6141"</f>
        <v>0,6141</v>
      </c>
      <c r="F40" s="41" t="s">
        <v>1522</v>
      </c>
      <c r="G40" s="41" t="s">
        <v>1679</v>
      </c>
      <c r="H40" s="21" t="s">
        <v>8</v>
      </c>
      <c r="I40" s="42" t="s">
        <v>827</v>
      </c>
      <c r="J40" s="19" t="str">
        <f>"11430,0"</f>
        <v>11430,0</v>
      </c>
      <c r="K40" s="19" t="str">
        <f>"7019,7344"</f>
        <v>7019,7344</v>
      </c>
      <c r="L40" s="41" t="s">
        <v>41</v>
      </c>
    </row>
    <row r="41" spans="1:12" ht="12.75">
      <c r="A41" s="41" t="s">
        <v>220</v>
      </c>
      <c r="B41" s="19" t="s">
        <v>534</v>
      </c>
      <c r="C41" s="41" t="s">
        <v>1349</v>
      </c>
      <c r="D41" s="41" t="s">
        <v>535</v>
      </c>
      <c r="E41" s="41" t="str">
        <f>"0,6406"</f>
        <v>0,6406</v>
      </c>
      <c r="F41" s="41" t="s">
        <v>1522</v>
      </c>
      <c r="G41" s="41" t="s">
        <v>1628</v>
      </c>
      <c r="H41" s="21" t="s">
        <v>7</v>
      </c>
      <c r="I41" s="42" t="s">
        <v>5</v>
      </c>
      <c r="J41" s="19" t="str">
        <f>"2975,0"</f>
        <v>2975,0</v>
      </c>
      <c r="K41" s="19" t="str">
        <f>"1905,9337"</f>
        <v>1905,9337</v>
      </c>
      <c r="L41" s="41" t="s">
        <v>41</v>
      </c>
    </row>
    <row r="42" spans="1:12" ht="12.75">
      <c r="A42" s="41" t="s">
        <v>221</v>
      </c>
      <c r="B42" s="19" t="s">
        <v>531</v>
      </c>
      <c r="C42" s="41" t="s">
        <v>1348</v>
      </c>
      <c r="D42" s="41" t="s">
        <v>532</v>
      </c>
      <c r="E42" s="41" t="str">
        <f>"0,6299"</f>
        <v>0,6299</v>
      </c>
      <c r="F42" s="41" t="s">
        <v>1522</v>
      </c>
      <c r="G42" s="41" t="s">
        <v>1567</v>
      </c>
      <c r="H42" s="21" t="s">
        <v>19</v>
      </c>
      <c r="I42" s="42" t="s">
        <v>826</v>
      </c>
      <c r="J42" s="19" t="str">
        <f>"2712,5"</f>
        <v>2712,5</v>
      </c>
      <c r="K42" s="19" t="str">
        <f>"1708,6037"</f>
        <v>1708,6037</v>
      </c>
      <c r="L42" s="41" t="s">
        <v>533</v>
      </c>
    </row>
    <row r="43" spans="1:12" ht="12.75">
      <c r="A43" s="41" t="s">
        <v>222</v>
      </c>
      <c r="B43" s="19" t="s">
        <v>536</v>
      </c>
      <c r="C43" s="41" t="s">
        <v>1350</v>
      </c>
      <c r="D43" s="41" t="s">
        <v>537</v>
      </c>
      <c r="E43" s="41" t="str">
        <f>"0,6173"</f>
        <v>0,6173</v>
      </c>
      <c r="F43" s="41" t="s">
        <v>1522</v>
      </c>
      <c r="G43" s="41" t="s">
        <v>1670</v>
      </c>
      <c r="H43" s="21" t="s">
        <v>8</v>
      </c>
      <c r="I43" s="42" t="s">
        <v>483</v>
      </c>
      <c r="J43" s="19" t="str">
        <f>"2250,0"</f>
        <v>2250,0</v>
      </c>
      <c r="K43" s="19" t="str">
        <f>"1388,9249"</f>
        <v>1388,9249</v>
      </c>
      <c r="L43" s="41" t="s">
        <v>41</v>
      </c>
    </row>
    <row r="44" spans="1:12" ht="12.75">
      <c r="A44" s="41" t="s">
        <v>223</v>
      </c>
      <c r="B44" s="19" t="s">
        <v>825</v>
      </c>
      <c r="C44" s="41" t="s">
        <v>1361</v>
      </c>
      <c r="D44" s="41" t="s">
        <v>824</v>
      </c>
      <c r="E44" s="41" t="str">
        <f>"0,6396"</f>
        <v>0,6396</v>
      </c>
      <c r="F44" s="41" t="s">
        <v>1522</v>
      </c>
      <c r="G44" s="41" t="s">
        <v>1671</v>
      </c>
      <c r="H44" s="21" t="s">
        <v>7</v>
      </c>
      <c r="I44" s="42" t="s">
        <v>823</v>
      </c>
      <c r="J44" s="19" t="str">
        <f>"1445,0"</f>
        <v>1445,0</v>
      </c>
      <c r="K44" s="19" t="str">
        <f>"924,2942"</f>
        <v>924,2942</v>
      </c>
      <c r="L44" s="41" t="s">
        <v>41</v>
      </c>
    </row>
    <row r="45" spans="1:12" ht="12.75">
      <c r="A45" s="36" t="s">
        <v>217</v>
      </c>
      <c r="B45" s="17" t="s">
        <v>783</v>
      </c>
      <c r="C45" s="36" t="s">
        <v>1450</v>
      </c>
      <c r="D45" s="36" t="s">
        <v>530</v>
      </c>
      <c r="E45" s="36" t="str">
        <f>"0,6226"</f>
        <v>0,6226</v>
      </c>
      <c r="F45" s="36" t="s">
        <v>1522</v>
      </c>
      <c r="G45" s="36" t="s">
        <v>1567</v>
      </c>
      <c r="H45" s="23" t="s">
        <v>19</v>
      </c>
      <c r="I45" s="37" t="s">
        <v>814</v>
      </c>
      <c r="J45" s="17" t="str">
        <f>"3150,0"</f>
        <v>3150,0</v>
      </c>
      <c r="K45" s="17" t="str">
        <f>"1980,8020"</f>
        <v>1980,8020</v>
      </c>
      <c r="L45" s="36" t="s">
        <v>822</v>
      </c>
    </row>
    <row r="46" ht="12.75">
      <c r="B46" s="31" t="s">
        <v>218</v>
      </c>
    </row>
    <row r="47" spans="1:11" ht="15">
      <c r="A47" s="124" t="s">
        <v>1157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</row>
    <row r="48" spans="1:12" ht="12.75">
      <c r="A48" s="38" t="s">
        <v>217</v>
      </c>
      <c r="B48" s="13" t="s">
        <v>802</v>
      </c>
      <c r="C48" s="38" t="s">
        <v>1514</v>
      </c>
      <c r="D48" s="38" t="s">
        <v>821</v>
      </c>
      <c r="E48" s="38" t="str">
        <f>"0,6090"</f>
        <v>0,6090</v>
      </c>
      <c r="F48" s="38" t="s">
        <v>1522</v>
      </c>
      <c r="G48" s="38" t="s">
        <v>1567</v>
      </c>
      <c r="H48" s="16" t="s">
        <v>47</v>
      </c>
      <c r="I48" s="39" t="s">
        <v>776</v>
      </c>
      <c r="J48" s="13" t="str">
        <f>"2497,5"</f>
        <v>2497,5</v>
      </c>
      <c r="K48" s="13" t="str">
        <f>"1520,8527"</f>
        <v>1520,8527</v>
      </c>
      <c r="L48" s="38" t="s">
        <v>820</v>
      </c>
    </row>
    <row r="49" spans="1:12" ht="12.75">
      <c r="A49" s="41" t="s">
        <v>217</v>
      </c>
      <c r="B49" s="19" t="s">
        <v>790</v>
      </c>
      <c r="C49" s="41" t="s">
        <v>1362</v>
      </c>
      <c r="D49" s="41" t="s">
        <v>819</v>
      </c>
      <c r="E49" s="41" t="str">
        <f>"0,6010"</f>
        <v>0,6010</v>
      </c>
      <c r="F49" s="41" t="s">
        <v>1547</v>
      </c>
      <c r="G49" s="41" t="s">
        <v>1555</v>
      </c>
      <c r="H49" s="21" t="s">
        <v>20</v>
      </c>
      <c r="I49" s="42" t="s">
        <v>818</v>
      </c>
      <c r="J49" s="19" t="str">
        <f>"5130,0"</f>
        <v>5130,0</v>
      </c>
      <c r="K49" s="19" t="str">
        <f>"3082,8735"</f>
        <v>3082,8735</v>
      </c>
      <c r="L49" s="41" t="s">
        <v>41</v>
      </c>
    </row>
    <row r="50" spans="1:12" ht="12.75">
      <c r="A50" s="36" t="s">
        <v>220</v>
      </c>
      <c r="B50" s="17" t="s">
        <v>543</v>
      </c>
      <c r="C50" s="36" t="s">
        <v>1352</v>
      </c>
      <c r="D50" s="36" t="s">
        <v>544</v>
      </c>
      <c r="E50" s="36" t="str">
        <f>"0,5835"</f>
        <v>0,5835</v>
      </c>
      <c r="F50" s="36" t="s">
        <v>1522</v>
      </c>
      <c r="G50" s="36" t="s">
        <v>1530</v>
      </c>
      <c r="H50" s="23" t="s">
        <v>21</v>
      </c>
      <c r="I50" s="37" t="s">
        <v>479</v>
      </c>
      <c r="J50" s="17" t="str">
        <f>"3000,0"</f>
        <v>3000,0</v>
      </c>
      <c r="K50" s="17" t="str">
        <f>"1750,6499"</f>
        <v>1750,6499</v>
      </c>
      <c r="L50" s="36" t="s">
        <v>545</v>
      </c>
    </row>
    <row r="51" ht="12.75">
      <c r="B51" s="31" t="s">
        <v>218</v>
      </c>
    </row>
    <row r="52" spans="1:11" ht="15">
      <c r="A52" s="124" t="s">
        <v>1158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</row>
    <row r="53" spans="1:12" ht="12.75">
      <c r="A53" s="38" t="s">
        <v>217</v>
      </c>
      <c r="B53" s="13" t="s">
        <v>542</v>
      </c>
      <c r="C53" s="38" t="s">
        <v>1351</v>
      </c>
      <c r="D53" s="38" t="s">
        <v>817</v>
      </c>
      <c r="E53" s="38" t="str">
        <f>"0,5795"</f>
        <v>0,5795</v>
      </c>
      <c r="F53" s="38" t="s">
        <v>1522</v>
      </c>
      <c r="G53" s="38" t="s">
        <v>1529</v>
      </c>
      <c r="H53" s="16" t="s">
        <v>278</v>
      </c>
      <c r="I53" s="39" t="s">
        <v>816</v>
      </c>
      <c r="J53" s="13" t="str">
        <f>"3792,5"</f>
        <v>3792,5</v>
      </c>
      <c r="K53" s="13" t="str">
        <f>"2197,5642"</f>
        <v>2197,5642</v>
      </c>
      <c r="L53" s="38" t="s">
        <v>899</v>
      </c>
    </row>
    <row r="54" spans="1:12" ht="12.75">
      <c r="A54" s="41" t="s">
        <v>220</v>
      </c>
      <c r="B54" s="19" t="s">
        <v>815</v>
      </c>
      <c r="C54" s="41" t="s">
        <v>1363</v>
      </c>
      <c r="D54" s="41" t="s">
        <v>415</v>
      </c>
      <c r="E54" s="41" t="str">
        <f>"0,5782"</f>
        <v>0,5782</v>
      </c>
      <c r="F54" s="41" t="s">
        <v>1522</v>
      </c>
      <c r="G54" s="41" t="s">
        <v>1680</v>
      </c>
      <c r="H54" s="21" t="s">
        <v>278</v>
      </c>
      <c r="I54" s="42" t="s">
        <v>814</v>
      </c>
      <c r="J54" s="19" t="str">
        <f>"3690,0"</f>
        <v>3690,0</v>
      </c>
      <c r="K54" s="19" t="str">
        <f>"2133,7425"</f>
        <v>2133,7425</v>
      </c>
      <c r="L54" s="41" t="s">
        <v>41</v>
      </c>
    </row>
    <row r="55" spans="1:12" ht="12.75">
      <c r="A55" s="41" t="s">
        <v>221</v>
      </c>
      <c r="B55" s="19" t="s">
        <v>549</v>
      </c>
      <c r="C55" s="41" t="s">
        <v>1335</v>
      </c>
      <c r="D55" s="41" t="s">
        <v>813</v>
      </c>
      <c r="E55" s="41" t="str">
        <f>"0,5746"</f>
        <v>0,5746</v>
      </c>
      <c r="F55" s="41" t="s">
        <v>1706</v>
      </c>
      <c r="G55" s="41" t="s">
        <v>1535</v>
      </c>
      <c r="H55" s="21" t="s">
        <v>39</v>
      </c>
      <c r="I55" s="42" t="s">
        <v>812</v>
      </c>
      <c r="J55" s="19" t="str">
        <f>"1365,0"</f>
        <v>1365,0</v>
      </c>
      <c r="K55" s="19" t="str">
        <f>"784,3290"</f>
        <v>784,3290</v>
      </c>
      <c r="L55" s="41" t="s">
        <v>41</v>
      </c>
    </row>
    <row r="56" spans="1:12" ht="12.75">
      <c r="A56" s="41" t="s">
        <v>219</v>
      </c>
      <c r="B56" s="19" t="s">
        <v>811</v>
      </c>
      <c r="C56" s="41" t="s">
        <v>1364</v>
      </c>
      <c r="D56" s="41" t="s">
        <v>810</v>
      </c>
      <c r="E56" s="41" t="str">
        <f>"0,5692"</f>
        <v>0,5692</v>
      </c>
      <c r="F56" s="41" t="s">
        <v>1538</v>
      </c>
      <c r="G56" s="41" t="s">
        <v>1539</v>
      </c>
      <c r="H56" s="21" t="s">
        <v>40</v>
      </c>
      <c r="I56" s="42" t="s">
        <v>809</v>
      </c>
      <c r="J56" s="19" t="str">
        <f>"0,0"</f>
        <v>0,0</v>
      </c>
      <c r="K56" s="19" t="str">
        <f>"0,0000"</f>
        <v>0,0000</v>
      </c>
      <c r="L56" s="41" t="s">
        <v>41</v>
      </c>
    </row>
    <row r="57" spans="1:12" ht="12.75">
      <c r="A57" s="41" t="s">
        <v>217</v>
      </c>
      <c r="B57" s="19" t="s">
        <v>414</v>
      </c>
      <c r="C57" s="41" t="s">
        <v>1451</v>
      </c>
      <c r="D57" s="41" t="s">
        <v>415</v>
      </c>
      <c r="E57" s="41" t="str">
        <f>"0,5782"</f>
        <v>0,5782</v>
      </c>
      <c r="F57" s="41" t="s">
        <v>1522</v>
      </c>
      <c r="G57" s="41" t="s">
        <v>1630</v>
      </c>
      <c r="H57" s="21" t="s">
        <v>278</v>
      </c>
      <c r="I57" s="42" t="s">
        <v>808</v>
      </c>
      <c r="J57" s="19" t="str">
        <f>"2665,0"</f>
        <v>2665,0</v>
      </c>
      <c r="K57" s="19" t="str">
        <f>"1667,4012"</f>
        <v>1667,4012</v>
      </c>
      <c r="L57" s="41" t="s">
        <v>41</v>
      </c>
    </row>
    <row r="58" spans="1:12" ht="12.75">
      <c r="A58" s="36" t="s">
        <v>220</v>
      </c>
      <c r="B58" s="17" t="s">
        <v>807</v>
      </c>
      <c r="C58" s="36" t="s">
        <v>1452</v>
      </c>
      <c r="D58" s="36" t="s">
        <v>806</v>
      </c>
      <c r="E58" s="36" t="str">
        <f>"0,5627"</f>
        <v>0,5627</v>
      </c>
      <c r="F58" s="36" t="s">
        <v>1522</v>
      </c>
      <c r="G58" s="36" t="s">
        <v>1663</v>
      </c>
      <c r="H58" s="23" t="s">
        <v>12</v>
      </c>
      <c r="I58" s="37" t="s">
        <v>805</v>
      </c>
      <c r="J58" s="17" t="str">
        <f>"1650,0"</f>
        <v>1650,0</v>
      </c>
      <c r="K58" s="17" t="str">
        <f>"1033,4622"</f>
        <v>1033,4622</v>
      </c>
      <c r="L58" s="36" t="s">
        <v>807</v>
      </c>
    </row>
    <row r="59" ht="12.75">
      <c r="B59" s="31" t="s">
        <v>218</v>
      </c>
    </row>
    <row r="60" ht="12.75">
      <c r="B60" s="31" t="s">
        <v>218</v>
      </c>
    </row>
    <row r="61" spans="2:3" ht="18">
      <c r="B61" s="26" t="s">
        <v>1689</v>
      </c>
      <c r="C61" s="26"/>
    </row>
    <row r="62" spans="2:3" ht="15">
      <c r="B62" s="12" t="s">
        <v>1690</v>
      </c>
      <c r="C62" s="12"/>
    </row>
    <row r="63" spans="2:3" ht="14.25">
      <c r="B63" s="29"/>
      <c r="C63" s="29" t="s">
        <v>1378</v>
      </c>
    </row>
    <row r="64" spans="2:6" ht="15">
      <c r="B64" s="4" t="s">
        <v>1134</v>
      </c>
      <c r="C64" s="4" t="s">
        <v>1135</v>
      </c>
      <c r="D64" s="4" t="s">
        <v>1711</v>
      </c>
      <c r="E64" s="4" t="s">
        <v>1145</v>
      </c>
      <c r="F64" s="4" t="s">
        <v>767</v>
      </c>
    </row>
    <row r="65" spans="2:6" ht="12.75">
      <c r="B65" s="31" t="s">
        <v>515</v>
      </c>
      <c r="C65" s="31" t="s">
        <v>1510</v>
      </c>
      <c r="D65" s="7" t="s">
        <v>46</v>
      </c>
      <c r="E65" s="7" t="s">
        <v>804</v>
      </c>
      <c r="F65" s="7" t="s">
        <v>803</v>
      </c>
    </row>
    <row r="66" spans="2:6" ht="12.75">
      <c r="B66" s="31" t="s">
        <v>802</v>
      </c>
      <c r="C66" s="31" t="s">
        <v>1510</v>
      </c>
      <c r="D66" s="7" t="s">
        <v>21</v>
      </c>
      <c r="E66" s="7" t="s">
        <v>801</v>
      </c>
      <c r="F66" s="7" t="s">
        <v>800</v>
      </c>
    </row>
    <row r="67" spans="2:6" ht="12.75">
      <c r="B67" s="31" t="s">
        <v>799</v>
      </c>
      <c r="C67" s="31" t="s">
        <v>1510</v>
      </c>
      <c r="D67" s="7" t="s">
        <v>46</v>
      </c>
      <c r="E67" s="7" t="s">
        <v>798</v>
      </c>
      <c r="F67" s="7" t="s">
        <v>797</v>
      </c>
    </row>
    <row r="69" spans="2:3" ht="14.25">
      <c r="B69" s="29"/>
      <c r="C69" s="29" t="s">
        <v>1193</v>
      </c>
    </row>
    <row r="70" spans="2:6" ht="15">
      <c r="B70" s="4" t="s">
        <v>1134</v>
      </c>
      <c r="C70" s="4" t="s">
        <v>1135</v>
      </c>
      <c r="D70" s="4" t="s">
        <v>1711</v>
      </c>
      <c r="E70" s="4" t="s">
        <v>1145</v>
      </c>
      <c r="F70" s="4" t="s">
        <v>767</v>
      </c>
    </row>
    <row r="71" spans="2:6" ht="12.75">
      <c r="B71" s="31" t="s">
        <v>796</v>
      </c>
      <c r="C71" s="31" t="s">
        <v>1193</v>
      </c>
      <c r="D71" s="7" t="s">
        <v>8</v>
      </c>
      <c r="E71" s="7" t="s">
        <v>795</v>
      </c>
      <c r="F71" s="7" t="s">
        <v>794</v>
      </c>
    </row>
    <row r="72" spans="2:6" ht="12.75">
      <c r="B72" s="31" t="s">
        <v>793</v>
      </c>
      <c r="C72" s="31" t="s">
        <v>1193</v>
      </c>
      <c r="D72" s="7" t="s">
        <v>58</v>
      </c>
      <c r="E72" s="7" t="s">
        <v>792</v>
      </c>
      <c r="F72" s="7" t="s">
        <v>791</v>
      </c>
    </row>
    <row r="73" spans="2:6" ht="12.75">
      <c r="B73" s="31" t="s">
        <v>790</v>
      </c>
      <c r="C73" s="31" t="s">
        <v>1193</v>
      </c>
      <c r="D73" s="7" t="s">
        <v>21</v>
      </c>
      <c r="E73" s="7" t="s">
        <v>789</v>
      </c>
      <c r="F73" s="7" t="s">
        <v>788</v>
      </c>
    </row>
    <row r="75" spans="2:3" ht="14.25">
      <c r="B75" s="29"/>
      <c r="C75" s="29" t="s">
        <v>1397</v>
      </c>
    </row>
    <row r="76" spans="2:6" ht="15">
      <c r="B76" s="4" t="s">
        <v>1134</v>
      </c>
      <c r="C76" s="4" t="s">
        <v>1135</v>
      </c>
      <c r="D76" s="4" t="s">
        <v>1711</v>
      </c>
      <c r="E76" s="4" t="s">
        <v>1145</v>
      </c>
      <c r="F76" s="4" t="s">
        <v>767</v>
      </c>
    </row>
    <row r="77" spans="2:6" ht="12.75">
      <c r="B77" s="31" t="s">
        <v>524</v>
      </c>
      <c r="C77" s="31" t="s">
        <v>1453</v>
      </c>
      <c r="D77" s="7" t="s">
        <v>46</v>
      </c>
      <c r="E77" s="7" t="s">
        <v>787</v>
      </c>
      <c r="F77" s="7" t="s">
        <v>786</v>
      </c>
    </row>
    <row r="78" spans="2:6" ht="12.75">
      <c r="B78" s="31" t="s">
        <v>116</v>
      </c>
      <c r="C78" s="31" t="s">
        <v>1454</v>
      </c>
      <c r="D78" s="7" t="s">
        <v>58</v>
      </c>
      <c r="E78" s="7" t="s">
        <v>785</v>
      </c>
      <c r="F78" s="7" t="s">
        <v>784</v>
      </c>
    </row>
    <row r="79" spans="2:6" ht="12.75">
      <c r="B79" s="31" t="s">
        <v>783</v>
      </c>
      <c r="C79" s="31" t="s">
        <v>1454</v>
      </c>
      <c r="D79" s="7" t="s">
        <v>8</v>
      </c>
      <c r="E79" s="7" t="s">
        <v>782</v>
      </c>
      <c r="F79" s="7" t="s">
        <v>781</v>
      </c>
    </row>
  </sheetData>
  <sheetProtection/>
  <mergeCells count="21">
    <mergeCell ref="A11:K11"/>
    <mergeCell ref="B3:B4"/>
    <mergeCell ref="A19:K19"/>
    <mergeCell ref="H3:I3"/>
    <mergeCell ref="A52:K52"/>
    <mergeCell ref="K3:K4"/>
    <mergeCell ref="A14:K14"/>
    <mergeCell ref="A5:K5"/>
    <mergeCell ref="A8:K8"/>
    <mergeCell ref="A38:K38"/>
    <mergeCell ref="A47:K47"/>
    <mergeCell ref="J3:J4"/>
    <mergeCell ref="F3:F4"/>
    <mergeCell ref="A28:K28"/>
    <mergeCell ref="A1:L2"/>
    <mergeCell ref="A3:A4"/>
    <mergeCell ref="C3:C4"/>
    <mergeCell ref="D3:D4"/>
    <mergeCell ref="E3:E4"/>
    <mergeCell ref="G3:G4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cp:lastPrinted>2015-07-16T19:10:53Z</cp:lastPrinted>
  <dcterms:created xsi:type="dcterms:W3CDTF">2002-06-16T13:36:44Z</dcterms:created>
  <dcterms:modified xsi:type="dcterms:W3CDTF">2019-05-28T13:03:05Z</dcterms:modified>
  <cp:category/>
  <cp:version/>
  <cp:contentType/>
  <cp:contentStatus/>
</cp:coreProperties>
</file>