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65" windowWidth="27765" windowHeight="15975" firstSheet="18" activeTab="19"/>
  </bookViews>
  <sheets>
    <sheet name="СПР Народный 1 вес ДК" sheetId="1" r:id="rId1"/>
    <sheet name="СПР Народный 1 вес" sheetId="2" r:id="rId2"/>
    <sheet name="СПР Народный 1_2 веса ДК" sheetId="3" r:id="rId3"/>
    <sheet name="СПР Народный 1_2 веса" sheetId="4" r:id="rId4"/>
    <sheet name="ФЖД ЖД Любители ДК" sheetId="5" r:id="rId5"/>
    <sheet name="ФЖД ЖД Любители ДК 1_2" sheetId="6" r:id="rId6"/>
    <sheet name="ФЖД ЖД Любители" sheetId="7" r:id="rId7"/>
    <sheet name="ФЖД ЖД Любители 1_2" sheetId="8" r:id="rId8"/>
    <sheet name="ФЖД ЖД Софт однослой ДК" sheetId="9" r:id="rId9"/>
    <sheet name="ФЖД ЖД Софт однослой" sheetId="10" r:id="rId10"/>
    <sheet name="ФЖД ЖД Армейский жим" sheetId="11" r:id="rId11"/>
    <sheet name="ФЖД ЖД Военный жим" sheetId="12" r:id="rId12"/>
    <sheet name="ФЖД ЖД Военный жим 1_2" sheetId="13" r:id="rId13"/>
    <sheet name="ФЖД Любители ДК жим многоповт." sheetId="14" r:id="rId14"/>
    <sheet name="ФЖД Любители жим многоповт." sheetId="15" r:id="rId15"/>
    <sheet name="ФЖД Любители жим многоповт 1_2" sheetId="16" r:id="rId16"/>
    <sheet name="ФЖД Софт однослой многоповт." sheetId="17" r:id="rId17"/>
    <sheet name="ФЖД Софт многослой многоповт." sheetId="18" r:id="rId18"/>
    <sheet name="ФЖД Армейский жим многоповт." sheetId="19" r:id="rId19"/>
    <sheet name="ФЖД Военный жим многоповт 1_2" sheetId="20" r:id="rId20"/>
  </sheets>
  <definedNames/>
  <calcPr fullCalcOnLoad="1"/>
</workbook>
</file>

<file path=xl/sharedStrings.xml><?xml version="1.0" encoding="utf-8"?>
<sst xmlns="http://schemas.openxmlformats.org/spreadsheetml/2006/main" count="982" uniqueCount="341">
  <si>
    <t>Место</t>
  </si>
  <si>
    <t>ФИО</t>
  </si>
  <si>
    <t>Возрастная группа
Дата рождения/Возраст</t>
  </si>
  <si>
    <t>Собственный 
вес</t>
  </si>
  <si>
    <t>Wilks</t>
  </si>
  <si>
    <t>Город/Страна</t>
  </si>
  <si>
    <t>Жим лёжа</t>
  </si>
  <si>
    <t>Сумма</t>
  </si>
  <si>
    <t>Очки</t>
  </si>
  <si>
    <t>Тренер</t>
  </si>
  <si>
    <t>Рек</t>
  </si>
  <si>
    <t>ВЕСОВАЯ КАТЕГОРИЯ   44</t>
  </si>
  <si>
    <t>1</t>
  </si>
  <si>
    <t>75,0</t>
  </si>
  <si>
    <t>80,0</t>
  </si>
  <si>
    <t>42,5</t>
  </si>
  <si>
    <t>45,0</t>
  </si>
  <si>
    <t>95,0</t>
  </si>
  <si>
    <t>100,0</t>
  </si>
  <si>
    <t>102,5</t>
  </si>
  <si>
    <t>Мошенко Анна</t>
  </si>
  <si>
    <t>Открытая (22.09.1985)/36</t>
  </si>
  <si>
    <t>41,10</t>
  </si>
  <si>
    <t xml:space="preserve">KAZ/Караганда </t>
  </si>
  <si>
    <t>70,0</t>
  </si>
  <si>
    <t>63,0</t>
  </si>
  <si>
    <t>65,0</t>
  </si>
  <si>
    <t>90,0</t>
  </si>
  <si>
    <t xml:space="preserve">Самостоятельно </t>
  </si>
  <si>
    <t>2</t>
  </si>
  <si>
    <t/>
  </si>
  <si>
    <t>ВЕСОВАЯ КАТЕГОРИЯ   48</t>
  </si>
  <si>
    <t>55,0</t>
  </si>
  <si>
    <t>120,0</t>
  </si>
  <si>
    <t>125,0</t>
  </si>
  <si>
    <t xml:space="preserve">RUS/Орёл </t>
  </si>
  <si>
    <t>50,0</t>
  </si>
  <si>
    <t>52,5</t>
  </si>
  <si>
    <t>87,5</t>
  </si>
  <si>
    <t xml:space="preserve">RUS/Москва </t>
  </si>
  <si>
    <t>47,5</t>
  </si>
  <si>
    <t>105,0</t>
  </si>
  <si>
    <t>ВЕСОВАЯ КАТЕГОРИЯ   52</t>
  </si>
  <si>
    <t>122,5</t>
  </si>
  <si>
    <t>67,5</t>
  </si>
  <si>
    <t>155,0</t>
  </si>
  <si>
    <t>160,0</t>
  </si>
  <si>
    <t xml:space="preserve">RUS/Пермь </t>
  </si>
  <si>
    <t>110,0</t>
  </si>
  <si>
    <t>107,5</t>
  </si>
  <si>
    <t>40,0</t>
  </si>
  <si>
    <t>82,5</t>
  </si>
  <si>
    <t>ВЕСОВАЯ КАТЕГОРИЯ   56</t>
  </si>
  <si>
    <t>35,0</t>
  </si>
  <si>
    <t>37,5</t>
  </si>
  <si>
    <t>ВЕСОВАЯ КАТЕГОРИЯ   60</t>
  </si>
  <si>
    <t xml:space="preserve">RUS/Солнечногорск </t>
  </si>
  <si>
    <t>127,5</t>
  </si>
  <si>
    <t>130,0</t>
  </si>
  <si>
    <t>ВЕСОВАЯ КАТЕГОРИЯ   67.5</t>
  </si>
  <si>
    <t>132,5</t>
  </si>
  <si>
    <t>140,0</t>
  </si>
  <si>
    <t>72,5</t>
  </si>
  <si>
    <t>135,0</t>
  </si>
  <si>
    <t>ВЕСОВАЯ КАТЕГОРИЯ   75</t>
  </si>
  <si>
    <t xml:space="preserve">RUS/Иваново </t>
  </si>
  <si>
    <t>150,0</t>
  </si>
  <si>
    <t>205,0</t>
  </si>
  <si>
    <t>157,5</t>
  </si>
  <si>
    <t>175,0</t>
  </si>
  <si>
    <t>75,00</t>
  </si>
  <si>
    <t>73,40</t>
  </si>
  <si>
    <t>170,0</t>
  </si>
  <si>
    <t>142,5</t>
  </si>
  <si>
    <t>ВЕСОВАЯ КАТЕГОРИЯ   82.5</t>
  </si>
  <si>
    <t>185,0</t>
  </si>
  <si>
    <t>78,90</t>
  </si>
  <si>
    <t>82,20</t>
  </si>
  <si>
    <t>270,0</t>
  </si>
  <si>
    <t>ВЕСОВАЯ КАТЕГОРИЯ   90</t>
  </si>
  <si>
    <t xml:space="preserve">RUS/Реутов </t>
  </si>
  <si>
    <t>89,30</t>
  </si>
  <si>
    <t>152,5</t>
  </si>
  <si>
    <t>ВЕСОВАЯ КАТЕГОРИЯ   100</t>
  </si>
  <si>
    <t>180,0</t>
  </si>
  <si>
    <t>98,70</t>
  </si>
  <si>
    <t>99,50</t>
  </si>
  <si>
    <t>195,0</t>
  </si>
  <si>
    <t>95,80</t>
  </si>
  <si>
    <t>ВЕСОВАЯ КАТЕГОРИЯ   110</t>
  </si>
  <si>
    <t>280,0</t>
  </si>
  <si>
    <t>89,70</t>
  </si>
  <si>
    <t xml:space="preserve">RUS/Долгопрудный </t>
  </si>
  <si>
    <t xml:space="preserve">RUS/Тверь </t>
  </si>
  <si>
    <t>285,0</t>
  </si>
  <si>
    <t>89,10</t>
  </si>
  <si>
    <t>30,0</t>
  </si>
  <si>
    <t>67,30</t>
  </si>
  <si>
    <t xml:space="preserve">RUS/Мурманск </t>
  </si>
  <si>
    <t xml:space="preserve">RUS/Самара </t>
  </si>
  <si>
    <t>59,90</t>
  </si>
  <si>
    <t>Борисова Ксения</t>
  </si>
  <si>
    <t>Открытая (16.01.1993)/28</t>
  </si>
  <si>
    <t xml:space="preserve">RUS/Балашиха </t>
  </si>
  <si>
    <t>74,50</t>
  </si>
  <si>
    <t>72,20</t>
  </si>
  <si>
    <t>Желябовский Дмитрий</t>
  </si>
  <si>
    <t>Крикунов Юрий</t>
  </si>
  <si>
    <t xml:space="preserve">RUS/Владивосток </t>
  </si>
  <si>
    <t>89,80</t>
  </si>
  <si>
    <t>Плотников Герман</t>
  </si>
  <si>
    <t>Открытая (08.05.1976)/45</t>
  </si>
  <si>
    <t>98,50</t>
  </si>
  <si>
    <t xml:space="preserve">RUS/Сызрань </t>
  </si>
  <si>
    <t xml:space="preserve">Кучин И. </t>
  </si>
  <si>
    <t>Морошкин Александр</t>
  </si>
  <si>
    <t>Открытая (23.02.1996)/25</t>
  </si>
  <si>
    <t>98,00</t>
  </si>
  <si>
    <t xml:space="preserve">Бобров В. </t>
  </si>
  <si>
    <t>109,50</t>
  </si>
  <si>
    <t>Федосеев Дмитрий</t>
  </si>
  <si>
    <t>Открытая (06.06.1978)/43</t>
  </si>
  <si>
    <t>108,00</t>
  </si>
  <si>
    <t>Чубаров Владимир</t>
  </si>
  <si>
    <t>Мастера 55-59 (03.04.1964)/57</t>
  </si>
  <si>
    <t>132,90</t>
  </si>
  <si>
    <t xml:space="preserve">RUS/Чебоксары </t>
  </si>
  <si>
    <t>Омаров Магомед</t>
  </si>
  <si>
    <t>94,10</t>
  </si>
  <si>
    <t>Лузин Сергей</t>
  </si>
  <si>
    <t>94,80</t>
  </si>
  <si>
    <t>Рыбальченко Игорь</t>
  </si>
  <si>
    <t>104,90</t>
  </si>
  <si>
    <t>212,5</t>
  </si>
  <si>
    <t>Gloss</t>
  </si>
  <si>
    <t xml:space="preserve">RUS/Сергиев Посад </t>
  </si>
  <si>
    <t>Мастера 40-49 (06.06.1978)/43</t>
  </si>
  <si>
    <t xml:space="preserve">Ковалев С. </t>
  </si>
  <si>
    <t>Кубок мира IPL/СПР
СПР Народный жим 1 вес ДК
Долгопрудный/Московская область, 19-21 ноября 2021 года</t>
  </si>
  <si>
    <t>Народный жим</t>
  </si>
  <si>
    <t>Тоннаж</t>
  </si>
  <si>
    <t>Вес</t>
  </si>
  <si>
    <t>Повторы</t>
  </si>
  <si>
    <t>Мамуткина Наталия</t>
  </si>
  <si>
    <t>Открытая (26.11.1990)/30</t>
  </si>
  <si>
    <t>53,80</t>
  </si>
  <si>
    <t>Открытая (02.10.1978)/43</t>
  </si>
  <si>
    <t xml:space="preserve"> RUS/Москва </t>
  </si>
  <si>
    <t>Филатов Николай</t>
  </si>
  <si>
    <t>Мастера 40-49 (01.03.1977)/44</t>
  </si>
  <si>
    <t>74,40</t>
  </si>
  <si>
    <t>Мастера 40-49 (02.10.1978)/43</t>
  </si>
  <si>
    <t>Мастера 60+ (25.05.1957)/64</t>
  </si>
  <si>
    <t>Мастера 40-49 (08.05.1976)/45</t>
  </si>
  <si>
    <t>Кубок мира IPL/СПР
СПР Народный жим 1 вес
Долгопрудный/Московская область, 19-21 ноября 2021 года</t>
  </si>
  <si>
    <t>Сперанская Анастасия</t>
  </si>
  <si>
    <t>Открытая (22.12.2015)/5</t>
  </si>
  <si>
    <t>22,20</t>
  </si>
  <si>
    <t>22,5</t>
  </si>
  <si>
    <t xml:space="preserve">Сперанский С. </t>
  </si>
  <si>
    <t>Асланян Эрик</t>
  </si>
  <si>
    <t>Юноши 13-19 (30.03.2004)/17</t>
  </si>
  <si>
    <t xml:space="preserve">RUS/Лосино-Петровский </t>
  </si>
  <si>
    <t xml:space="preserve">Рассказов Г. </t>
  </si>
  <si>
    <t>Яковлев Юрий</t>
  </si>
  <si>
    <t>Открытая (01.06.1973)/48</t>
  </si>
  <si>
    <t>Зайцев Александр</t>
  </si>
  <si>
    <t>Открытая (20.05.1987)/34</t>
  </si>
  <si>
    <t xml:space="preserve">Зайцев В. </t>
  </si>
  <si>
    <t>Наумов Павел</t>
  </si>
  <si>
    <t>Открытая (12.07.1985)/36</t>
  </si>
  <si>
    <t xml:space="preserve">RUS/Королёв </t>
  </si>
  <si>
    <t xml:space="preserve">Заболотников И. </t>
  </si>
  <si>
    <t>Подкатнов Юрий</t>
  </si>
  <si>
    <t>Открытая (09.12.1981)/39</t>
  </si>
  <si>
    <t>86,50</t>
  </si>
  <si>
    <t xml:space="preserve">RUS/Коломна </t>
  </si>
  <si>
    <t>Ларин Павел</t>
  </si>
  <si>
    <t>Мастера 40-49 (23.06.1975)/46</t>
  </si>
  <si>
    <t>86,40</t>
  </si>
  <si>
    <t xml:space="preserve">Ерёмин Е. </t>
  </si>
  <si>
    <t>Рассказов Геннадий</t>
  </si>
  <si>
    <t>Мастера 50-59 (04.09.1966)/55</t>
  </si>
  <si>
    <t>Открытая (30.05.1963)/58</t>
  </si>
  <si>
    <t>Кирилкин Сергей</t>
  </si>
  <si>
    <t>Открытая (09.10.1979)/42</t>
  </si>
  <si>
    <t>101,30</t>
  </si>
  <si>
    <t xml:space="preserve">RUS/Брянск </t>
  </si>
  <si>
    <t xml:space="preserve">Калинин Андрей </t>
  </si>
  <si>
    <t>Мастера 50-59 (22.03.1964)/57</t>
  </si>
  <si>
    <t>Кубок мира IPL/СПР
СПР Народный жим 1/2 веса ДК
Долгопрудный/Московская область, 19-21 ноября 2021 года</t>
  </si>
  <si>
    <t>Сверчков Андрей</t>
  </si>
  <si>
    <t>Мастера 60+ (18.11.1953)/68</t>
  </si>
  <si>
    <t>77,70</t>
  </si>
  <si>
    <t xml:space="preserve">RUS/Фрязино </t>
  </si>
  <si>
    <t>Быков Николай</t>
  </si>
  <si>
    <t>Мастера 60+ (29.08.1956)/65</t>
  </si>
  <si>
    <t>85,00</t>
  </si>
  <si>
    <t xml:space="preserve">RUS/Верхнеднепровский </t>
  </si>
  <si>
    <t xml:space="preserve">Воронин Е. </t>
  </si>
  <si>
    <t>Кубок мира IPL/СПР
СПР Народный жим 1/2 веса
Долгопрудный/Московская область, 19-21 ноября 2021 года</t>
  </si>
  <si>
    <t>Буреева Арина</t>
  </si>
  <si>
    <t>Девушки 13-19 (21.06.2006)/15</t>
  </si>
  <si>
    <t>45,70</t>
  </si>
  <si>
    <t>25,0</t>
  </si>
  <si>
    <t>Дорофеева Елена</t>
  </si>
  <si>
    <t>Открытая (03.12.1981)/39</t>
  </si>
  <si>
    <t>78,60</t>
  </si>
  <si>
    <t>Серов Максим</t>
  </si>
  <si>
    <t>Юноши 13-19 (13.09.2006)/15</t>
  </si>
  <si>
    <t>48,50</t>
  </si>
  <si>
    <t>Костин Егор</t>
  </si>
  <si>
    <t>Юноши 13-19 (12.03.2006)/15</t>
  </si>
  <si>
    <t>58,40</t>
  </si>
  <si>
    <t>Априкян Макс</t>
  </si>
  <si>
    <t>Юноши 13-19 (30.08.2007)/14</t>
  </si>
  <si>
    <t>63,30</t>
  </si>
  <si>
    <t>32,5</t>
  </si>
  <si>
    <t>Бородин Анатолий</t>
  </si>
  <si>
    <t>Мастера 60+ (25.06.1959)/62</t>
  </si>
  <si>
    <t>73,00</t>
  </si>
  <si>
    <t xml:space="preserve">RUS/Фурманов </t>
  </si>
  <si>
    <t>Салов Павел</t>
  </si>
  <si>
    <t>Мастера 60+ (11.08.1954)/67</t>
  </si>
  <si>
    <t>Морозов Михаил</t>
  </si>
  <si>
    <t>Юноши 13-19 (24.08.2006)/15</t>
  </si>
  <si>
    <t>Гаршин Александр</t>
  </si>
  <si>
    <t>Мастера 60+ (29.06.1954)/67</t>
  </si>
  <si>
    <t>94,60</t>
  </si>
  <si>
    <t xml:space="preserve">RUS/Монино </t>
  </si>
  <si>
    <t>Мастера 60+ (30.04.1954)/67</t>
  </si>
  <si>
    <t>77,30</t>
  </si>
  <si>
    <t>Эльмурзиев Алихан</t>
  </si>
  <si>
    <t>Мастера 45-49 (06.05.1975)/46</t>
  </si>
  <si>
    <t xml:space="preserve">Яковлев А. </t>
  </si>
  <si>
    <t>Жим стоя</t>
  </si>
  <si>
    <t>76,00</t>
  </si>
  <si>
    <t xml:space="preserve">RUS/Узловая </t>
  </si>
  <si>
    <t>106,50</t>
  </si>
  <si>
    <t>60,00</t>
  </si>
  <si>
    <t>ВЕСОВАЯ КАТЕГОРИЯ   80</t>
  </si>
  <si>
    <t>Самостоятельно</t>
  </si>
  <si>
    <t>Чемпионат мира ФЖД
ФЖД Любители с ДК двоеборье
Долгопрудный/Московская область, 19-21 ноября 2021 года</t>
  </si>
  <si>
    <t>Wilks/Залуцкий</t>
  </si>
  <si>
    <t>Многоповторный жим</t>
  </si>
  <si>
    <t>ВЕСОВАЯ КАТЕГОРИЯ   50</t>
  </si>
  <si>
    <t>ВЕСОВАЯ КАТЕГОРИЯ   70</t>
  </si>
  <si>
    <t>Хан Владимир</t>
  </si>
  <si>
    <t>Мастера 55-59 (18.04.1962)/59</t>
  </si>
  <si>
    <t>69,40</t>
  </si>
  <si>
    <t xml:space="preserve">RUS/Партизанск </t>
  </si>
  <si>
    <t>Чугунов Максим</t>
  </si>
  <si>
    <t>Открытая (23.01.1977)/44</t>
  </si>
  <si>
    <t>77,90</t>
  </si>
  <si>
    <t xml:space="preserve">Белоусов И. </t>
  </si>
  <si>
    <t>Соловьев Виктор</t>
  </si>
  <si>
    <t>Открытая (04.12.1991)/29</t>
  </si>
  <si>
    <t xml:space="preserve">RUS/Соль-Илецк </t>
  </si>
  <si>
    <t>Хан Д.</t>
  </si>
  <si>
    <t>Фомин Павел</t>
  </si>
  <si>
    <t>Открытая (16.05.1979)/42</t>
  </si>
  <si>
    <t>ВЕСОВАЯ КАТЕГОРИЯ   130+</t>
  </si>
  <si>
    <t>Чемпионат мира ФЖД
ФЖД Любители с ДК двоеборье 1/2 веса
Долгопрудный/Московская область, 19-21 ноября 2021 года</t>
  </si>
  <si>
    <t>Медведева Елена</t>
  </si>
  <si>
    <t>Мастера 55-59 (10.10.1962)/59</t>
  </si>
  <si>
    <t xml:space="preserve">Медведев К. </t>
  </si>
  <si>
    <t>Курбасов Владимир</t>
  </si>
  <si>
    <t>Мастера 60-64 (06.06.1959)/62</t>
  </si>
  <si>
    <t>88,10</t>
  </si>
  <si>
    <t>Попков Александр</t>
  </si>
  <si>
    <t>Мастера 45-49 (13.05.1973)/48</t>
  </si>
  <si>
    <t>Чемпионат мира ФЖД
ФЖД Любители двоеборье
Долгопрудный/Московская область, 19-21 ноября 2021 года</t>
  </si>
  <si>
    <t>Смирнов Иван</t>
  </si>
  <si>
    <t>Открытая (07.07.1984)/37</t>
  </si>
  <si>
    <t xml:space="preserve">RUS/Грязовец </t>
  </si>
  <si>
    <t>Юсупов Анвар</t>
  </si>
  <si>
    <t>Открытая (06.03.1983)/38</t>
  </si>
  <si>
    <t>Остапенко Кирилл</t>
  </si>
  <si>
    <t>Мастера 40-44 (19.10.1977)/44</t>
  </si>
  <si>
    <t>97,50</t>
  </si>
  <si>
    <t xml:space="preserve">RUS/Мга </t>
  </si>
  <si>
    <t>Чемпионат мира ФЖД
ФЖД Любители двоеборье 1/2 веса
Долгопрудный/Московская область, 19-21 ноября 2021 года</t>
  </si>
  <si>
    <t>Скорняков Максим</t>
  </si>
  <si>
    <t>Открытая (24.12.1984)/36</t>
  </si>
  <si>
    <t>Чемпионат мира ФЖД
ФЖД Софт экипировка однослойная двоеборье с ДК
Долгопрудный/Московская область, 19-21 ноября 2021 года</t>
  </si>
  <si>
    <t>Открытая (18.04.1962)/59</t>
  </si>
  <si>
    <t>Добрянский Денис</t>
  </si>
  <si>
    <t>Открытая (06.12.1977)/43</t>
  </si>
  <si>
    <t>Чемпионат мира ФЖД
ФЖД Софт экипировка однослойная двоеборье
Долгопрудный/Московская область, 19-21 ноября 2021 года</t>
  </si>
  <si>
    <t>Акулич Александр</t>
  </si>
  <si>
    <t>Открытая (17.11.1981)/40</t>
  </si>
  <si>
    <t>293,0</t>
  </si>
  <si>
    <t>Чемпионат мира ФЖД
ФЖД Армейский жим двоеборье
Долгопрудный/Московская область, 19-21 ноября 2021 года</t>
  </si>
  <si>
    <t>Чемпионат мира ФЖД
ФЖД Военный жим двоеборье
Долгопрудный/Московская область, 19-21 ноября 2021 года</t>
  </si>
  <si>
    <t>ВЕСОВАЯ КАТЕГОРИЯ   120</t>
  </si>
  <si>
    <t>Ильин Максим</t>
  </si>
  <si>
    <t>Мастера 40-44 (27.07.1977)/44</t>
  </si>
  <si>
    <t>114,60</t>
  </si>
  <si>
    <t>0</t>
  </si>
  <si>
    <t>Чемпионат мира ФЖД
ФЖД Военный жим двоеборье 1/2 веса
Долгопрудный/Московская область, 19-21 ноября 2021 года</t>
  </si>
  <si>
    <t xml:space="preserve">RUS/Талдом </t>
  </si>
  <si>
    <t>Чемпионат мира ФЖД
ФЖД Любители с ДК многоповторный жим
Долгопрудный/Московская область, 19-21 ноября 2021 года</t>
  </si>
  <si>
    <t>Чемпионат мира ФЖД
ФЖД Любители многоповторный жим
Долгопрудный/Московская область, 19-21 ноября 2021 года</t>
  </si>
  <si>
    <t xml:space="preserve">RUS/пгт Мга </t>
  </si>
  <si>
    <t>Чемпионат мира ФЖД
ФЖД Любители многоповторный жим 1/2 веса
Долгопрудный/Московская область, 19-21 ноября 2021 года</t>
  </si>
  <si>
    <t>Ткачев Виктор</t>
  </si>
  <si>
    <t>Мастера 70+ (15.11.1944)/77</t>
  </si>
  <si>
    <t>Мастера 65-69 (29.08.1956)/65</t>
  </si>
  <si>
    <t>Воронин Е.</t>
  </si>
  <si>
    <t>Чемпионат мира ФЖД
ФЖД Софт экипировка однослойная жим многоповторный
Долгопрудный/Московская область, 19-21 ноября 2021 года</t>
  </si>
  <si>
    <t>Арефьев Алексей</t>
  </si>
  <si>
    <t>Открытая (24.03.1972)/49</t>
  </si>
  <si>
    <t xml:space="preserve">RUS/Новокузнецк </t>
  </si>
  <si>
    <t xml:space="preserve">Епихин А. </t>
  </si>
  <si>
    <t>Мастера 45-49 (24.03.1972)/49</t>
  </si>
  <si>
    <t>Чемпионат мира ФЖД
ФЖД Софт экипировка многослойная жим многоповторный
Долгопрудный/Московская область, 19-21 ноября 2021 года</t>
  </si>
  <si>
    <t>Черствов Алексей</t>
  </si>
  <si>
    <t>Открытая (16.04.1981)/40</t>
  </si>
  <si>
    <t>116,40</t>
  </si>
  <si>
    <t>Чемпионат мира ФЖД
ФЖД Армейский жим многоповторный
Долгопрудный/Московская область, 19-21 ноября 2021 года</t>
  </si>
  <si>
    <t>Шмаков Сергей</t>
  </si>
  <si>
    <t>Открытая (12.03.1965)/56</t>
  </si>
  <si>
    <t>89,20</t>
  </si>
  <si>
    <t xml:space="preserve">RUS/Судогда </t>
  </si>
  <si>
    <t>Пустовой Эдуард</t>
  </si>
  <si>
    <t>Открытая (17.07.1978)/43</t>
  </si>
  <si>
    <t>91,00</t>
  </si>
  <si>
    <t xml:space="preserve">RUS/Волгодонск </t>
  </si>
  <si>
    <t>Мастера 40-44 (17.07.1978)/43</t>
  </si>
  <si>
    <t>Кублицкий Александр</t>
  </si>
  <si>
    <t>Открытая (18.09.1981)/40</t>
  </si>
  <si>
    <t>Мастера 40-44 (18.09.1981)/40</t>
  </si>
  <si>
    <t>Яковлев Артем</t>
  </si>
  <si>
    <t>Мастера 40-44 (06.12.1979)/41</t>
  </si>
  <si>
    <t>106,40</t>
  </si>
  <si>
    <t>Чемпионат мира ФЖД
ФЖД Военный жим многоповторный 1/2 веса
Долгопрудный/Московская область, 19-21 ноября 2021 года</t>
  </si>
  <si>
    <t>Миклашевич Андрей</t>
  </si>
  <si>
    <t>Открытая (12.06.1983)/38</t>
  </si>
  <si>
    <t>0,6417</t>
  </si>
  <si>
    <t>1386,0720</t>
  </si>
  <si>
    <t>Мастера 65-69 (29.06.1954)/67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</si>
</sst>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i/>
      <sz val="12"/>
      <name val="Arial Cyr"/>
      <family val="0"/>
    </font>
    <font>
      <b/>
      <strike/>
      <sz val="10"/>
      <color indexed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7E4B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1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7.375" style="5" bestFit="1" customWidth="1"/>
    <col min="2" max="2" width="20.375" style="5" bestFit="1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17.25390625" style="5" bestFit="1" customWidth="1"/>
    <col min="7" max="7" width="9.875" style="6" customWidth="1"/>
    <col min="8" max="8" width="10.375" style="29" customWidth="1"/>
    <col min="9" max="9" width="7.875" style="6" bestFit="1" customWidth="1"/>
    <col min="10" max="10" width="9.375" style="6" bestFit="1" customWidth="1"/>
    <col min="11" max="11" width="18.125" style="5" customWidth="1"/>
    <col min="12" max="16384" width="9.125" style="3" customWidth="1"/>
  </cols>
  <sheetData>
    <row r="1" spans="1:11" s="2" customFormat="1" ht="28.5" customHeight="1">
      <c r="A1" s="48" t="s">
        <v>138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134</v>
      </c>
      <c r="F3" s="43" t="s">
        <v>5</v>
      </c>
      <c r="G3" s="43" t="s">
        <v>139</v>
      </c>
      <c r="H3" s="43"/>
      <c r="I3" s="43" t="s">
        <v>140</v>
      </c>
      <c r="J3" s="43" t="s">
        <v>8</v>
      </c>
      <c r="K3" s="45" t="s">
        <v>9</v>
      </c>
    </row>
    <row r="4" spans="1:11" s="1" customFormat="1" ht="21" customHeight="1" thickBot="1">
      <c r="A4" s="57"/>
      <c r="B4" s="40"/>
      <c r="C4" s="44"/>
      <c r="D4" s="44"/>
      <c r="E4" s="44"/>
      <c r="F4" s="44"/>
      <c r="G4" s="4" t="s">
        <v>141</v>
      </c>
      <c r="H4" s="27" t="s">
        <v>142</v>
      </c>
      <c r="I4" s="44"/>
      <c r="J4" s="44"/>
      <c r="K4" s="46"/>
    </row>
    <row r="5" spans="1:8" ht="15">
      <c r="A5" s="47" t="s">
        <v>52</v>
      </c>
      <c r="B5" s="47"/>
      <c r="C5" s="47"/>
      <c r="D5" s="47"/>
      <c r="E5" s="47"/>
      <c r="F5" s="47"/>
      <c r="G5" s="47"/>
      <c r="H5" s="47"/>
    </row>
    <row r="6" spans="1:11" ht="12.75">
      <c r="A6" s="8" t="s">
        <v>12</v>
      </c>
      <c r="B6" s="7" t="s">
        <v>143</v>
      </c>
      <c r="C6" s="7" t="s">
        <v>144</v>
      </c>
      <c r="D6" s="7" t="s">
        <v>145</v>
      </c>
      <c r="E6" s="7" t="str">
        <f>"1,0780"</f>
        <v>1,0780</v>
      </c>
      <c r="F6" s="7" t="s">
        <v>126</v>
      </c>
      <c r="G6" s="8" t="s">
        <v>32</v>
      </c>
      <c r="H6" s="28">
        <v>21</v>
      </c>
      <c r="I6" s="8" t="str">
        <f>"1155,0"</f>
        <v>1155,0</v>
      </c>
      <c r="J6" s="8" t="str">
        <f>"1245,0899"</f>
        <v>1245,0899</v>
      </c>
      <c r="K6" s="7" t="s">
        <v>28</v>
      </c>
    </row>
    <row r="7" ht="12.75">
      <c r="B7" s="5" t="s">
        <v>30</v>
      </c>
    </row>
    <row r="8" spans="1:8" ht="15">
      <c r="A8" s="38" t="s">
        <v>64</v>
      </c>
      <c r="B8" s="38"/>
      <c r="C8" s="38"/>
      <c r="D8" s="38"/>
      <c r="E8" s="38"/>
      <c r="F8" s="38"/>
      <c r="G8" s="38"/>
      <c r="H8" s="38"/>
    </row>
    <row r="9" spans="1:11" ht="12.75">
      <c r="A9" s="12" t="s">
        <v>12</v>
      </c>
      <c r="B9" s="11" t="s">
        <v>106</v>
      </c>
      <c r="C9" s="11" t="s">
        <v>146</v>
      </c>
      <c r="D9" s="11" t="s">
        <v>104</v>
      </c>
      <c r="E9" s="11" t="str">
        <f>"0,6920"</f>
        <v>0,6920</v>
      </c>
      <c r="F9" s="11" t="s">
        <v>147</v>
      </c>
      <c r="G9" s="12" t="s">
        <v>13</v>
      </c>
      <c r="H9" s="30">
        <v>19</v>
      </c>
      <c r="I9" s="12" t="str">
        <f>"1425,0"</f>
        <v>1425,0</v>
      </c>
      <c r="J9" s="12" t="str">
        <f>"986,0288"</f>
        <v>986,0288</v>
      </c>
      <c r="K9" s="11" t="s">
        <v>28</v>
      </c>
    </row>
    <row r="10" spans="1:11" ht="12.75">
      <c r="A10" s="16" t="s">
        <v>12</v>
      </c>
      <c r="B10" s="15" t="s">
        <v>148</v>
      </c>
      <c r="C10" s="15" t="s">
        <v>149</v>
      </c>
      <c r="D10" s="15" t="s">
        <v>150</v>
      </c>
      <c r="E10" s="15" t="str">
        <f>"0,6927"</f>
        <v>0,6927</v>
      </c>
      <c r="F10" s="15" t="s">
        <v>39</v>
      </c>
      <c r="G10" s="16" t="s">
        <v>13</v>
      </c>
      <c r="H10" s="32">
        <v>26</v>
      </c>
      <c r="I10" s="16" t="str">
        <f>"1950,0"</f>
        <v>1950,0</v>
      </c>
      <c r="J10" s="16" t="str">
        <f>"1408,7462"</f>
        <v>1408,7462</v>
      </c>
      <c r="K10" s="15" t="s">
        <v>28</v>
      </c>
    </row>
    <row r="11" spans="1:11" ht="12.75">
      <c r="A11" s="16" t="s">
        <v>29</v>
      </c>
      <c r="B11" s="15" t="s">
        <v>106</v>
      </c>
      <c r="C11" s="15" t="s">
        <v>151</v>
      </c>
      <c r="D11" s="15" t="s">
        <v>104</v>
      </c>
      <c r="E11" s="15" t="str">
        <f>"0,6920"</f>
        <v>0,6920</v>
      </c>
      <c r="F11" s="15" t="s">
        <v>147</v>
      </c>
      <c r="G11" s="16" t="s">
        <v>13</v>
      </c>
      <c r="H11" s="32">
        <v>19</v>
      </c>
      <c r="I11" s="16" t="str">
        <f>"1425,0"</f>
        <v>1425,0</v>
      </c>
      <c r="J11" s="16" t="str">
        <f>"1016,5957"</f>
        <v>1016,5957</v>
      </c>
      <c r="K11" s="15" t="s">
        <v>28</v>
      </c>
    </row>
    <row r="12" spans="1:11" ht="12.75">
      <c r="A12" s="14" t="s">
        <v>12</v>
      </c>
      <c r="B12" s="13" t="s">
        <v>107</v>
      </c>
      <c r="C12" s="13" t="s">
        <v>152</v>
      </c>
      <c r="D12" s="13" t="s">
        <v>71</v>
      </c>
      <c r="E12" s="13" t="str">
        <f>"0,6998"</f>
        <v>0,6998</v>
      </c>
      <c r="F12" s="13" t="s">
        <v>108</v>
      </c>
      <c r="G12" s="14" t="s">
        <v>13</v>
      </c>
      <c r="H12" s="31">
        <v>10</v>
      </c>
      <c r="I12" s="14" t="str">
        <f>"750,0"</f>
        <v>750,0</v>
      </c>
      <c r="J12" s="14" t="str">
        <f>"760,9781"</f>
        <v>760,9781</v>
      </c>
      <c r="K12" s="13" t="s">
        <v>28</v>
      </c>
    </row>
    <row r="13" ht="12.75">
      <c r="B13" s="5" t="s">
        <v>30</v>
      </c>
    </row>
    <row r="14" spans="1:8" ht="15">
      <c r="A14" s="38" t="s">
        <v>83</v>
      </c>
      <c r="B14" s="38"/>
      <c r="C14" s="38"/>
      <c r="D14" s="38"/>
      <c r="E14" s="38"/>
      <c r="F14" s="38"/>
      <c r="G14" s="38"/>
      <c r="H14" s="38"/>
    </row>
    <row r="15" spans="1:11" ht="12.75">
      <c r="A15" s="12" t="s">
        <v>12</v>
      </c>
      <c r="B15" s="11" t="s">
        <v>110</v>
      </c>
      <c r="C15" s="11" t="s">
        <v>111</v>
      </c>
      <c r="D15" s="11" t="s">
        <v>112</v>
      </c>
      <c r="E15" s="11" t="str">
        <f>"0,5850"</f>
        <v>0,5850</v>
      </c>
      <c r="F15" s="11" t="s">
        <v>113</v>
      </c>
      <c r="G15" s="12" t="s">
        <v>18</v>
      </c>
      <c r="H15" s="30">
        <v>27</v>
      </c>
      <c r="I15" s="12" t="str">
        <f>"2700,0"</f>
        <v>2700,0</v>
      </c>
      <c r="J15" s="12" t="str">
        <f>"1579,6350"</f>
        <v>1579,6350</v>
      </c>
      <c r="K15" s="11" t="s">
        <v>114</v>
      </c>
    </row>
    <row r="16" spans="1:11" ht="12.75">
      <c r="A16" s="16" t="s">
        <v>29</v>
      </c>
      <c r="B16" s="15" t="s">
        <v>115</v>
      </c>
      <c r="C16" s="15" t="s">
        <v>116</v>
      </c>
      <c r="D16" s="15" t="s">
        <v>117</v>
      </c>
      <c r="E16" s="15" t="str">
        <f>"0,5864"</f>
        <v>0,5864</v>
      </c>
      <c r="F16" s="15" t="s">
        <v>93</v>
      </c>
      <c r="G16" s="16" t="s">
        <v>18</v>
      </c>
      <c r="H16" s="32">
        <v>12</v>
      </c>
      <c r="I16" s="16" t="str">
        <f>"1200,0"</f>
        <v>1200,0</v>
      </c>
      <c r="J16" s="16" t="str">
        <f>"703,6200"</f>
        <v>703,6200</v>
      </c>
      <c r="K16" s="15" t="s">
        <v>118</v>
      </c>
    </row>
    <row r="17" spans="1:11" ht="12.75">
      <c r="A17" s="14" t="s">
        <v>12</v>
      </c>
      <c r="B17" s="13" t="s">
        <v>110</v>
      </c>
      <c r="C17" s="13" t="s">
        <v>153</v>
      </c>
      <c r="D17" s="13" t="s">
        <v>112</v>
      </c>
      <c r="E17" s="13" t="str">
        <f>"0,5850"</f>
        <v>0,5850</v>
      </c>
      <c r="F17" s="13" t="s">
        <v>113</v>
      </c>
      <c r="G17" s="14" t="s">
        <v>18</v>
      </c>
      <c r="H17" s="31">
        <v>27</v>
      </c>
      <c r="I17" s="14" t="str">
        <f>"2700,0"</f>
        <v>2700,0</v>
      </c>
      <c r="J17" s="14" t="str">
        <f>"1666,5149"</f>
        <v>1666,5149</v>
      </c>
      <c r="K17" s="13" t="s">
        <v>114</v>
      </c>
    </row>
    <row r="18" ht="12.75">
      <c r="B18" s="5" t="s">
        <v>30</v>
      </c>
    </row>
    <row r="19" spans="1:8" ht="15">
      <c r="A19" s="38" t="s">
        <v>89</v>
      </c>
      <c r="B19" s="38"/>
      <c r="C19" s="38"/>
      <c r="D19" s="38"/>
      <c r="E19" s="38"/>
      <c r="F19" s="38"/>
      <c r="G19" s="38"/>
      <c r="H19" s="38"/>
    </row>
    <row r="20" spans="1:11" ht="12.75">
      <c r="A20" s="12" t="s">
        <v>12</v>
      </c>
      <c r="B20" s="11" t="s">
        <v>120</v>
      </c>
      <c r="C20" s="11" t="s">
        <v>121</v>
      </c>
      <c r="D20" s="11" t="s">
        <v>119</v>
      </c>
      <c r="E20" s="11" t="str">
        <f>"0,5632"</f>
        <v>0,5632</v>
      </c>
      <c r="F20" s="11" t="s">
        <v>99</v>
      </c>
      <c r="G20" s="12" t="s">
        <v>48</v>
      </c>
      <c r="H20" s="30">
        <v>25</v>
      </c>
      <c r="I20" s="12" t="str">
        <f>"2750,0"</f>
        <v>2750,0</v>
      </c>
      <c r="J20" s="12" t="str">
        <f>"1548,8000"</f>
        <v>1548,8000</v>
      </c>
      <c r="K20" s="11" t="s">
        <v>28</v>
      </c>
    </row>
    <row r="21" spans="1:11" ht="12.75">
      <c r="A21" s="14" t="s">
        <v>12</v>
      </c>
      <c r="B21" s="13" t="s">
        <v>120</v>
      </c>
      <c r="C21" s="13" t="s">
        <v>136</v>
      </c>
      <c r="D21" s="13" t="s">
        <v>119</v>
      </c>
      <c r="E21" s="13" t="str">
        <f>"0,5632"</f>
        <v>0,5632</v>
      </c>
      <c r="F21" s="13" t="s">
        <v>99</v>
      </c>
      <c r="G21" s="14" t="s">
        <v>48</v>
      </c>
      <c r="H21" s="31">
        <v>25</v>
      </c>
      <c r="I21" s="14" t="str">
        <f>"2750,0"</f>
        <v>2750,0</v>
      </c>
      <c r="J21" s="14" t="str">
        <f>"1596,8128"</f>
        <v>1596,8128</v>
      </c>
      <c r="K21" s="13" t="s">
        <v>28</v>
      </c>
    </row>
    <row r="22" ht="12.75">
      <c r="B22" s="5" t="s">
        <v>30</v>
      </c>
    </row>
  </sheetData>
  <sheetProtection/>
  <mergeCells count="15"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  <mergeCell ref="A8:H8"/>
    <mergeCell ref="A14:H14"/>
    <mergeCell ref="A19:H19"/>
    <mergeCell ref="B3:B4"/>
    <mergeCell ref="G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1" sqref="A1:O2"/>
    </sheetView>
  </sheetViews>
  <sheetFormatPr defaultColWidth="9.125" defaultRowHeight="12.75"/>
  <cols>
    <col min="1" max="1" width="7.375" style="5" bestFit="1" customWidth="1"/>
    <col min="2" max="2" width="17.25390625" style="5" bestFit="1" customWidth="1"/>
    <col min="3" max="3" width="26.25390625" style="5" bestFit="1" customWidth="1"/>
    <col min="4" max="4" width="21.375" style="5" bestFit="1" customWidth="1"/>
    <col min="5" max="5" width="15.125" style="5" bestFit="1" customWidth="1"/>
    <col min="6" max="6" width="19.25390625" style="5" bestFit="1" customWidth="1"/>
    <col min="7" max="10" width="5.375" style="6" customWidth="1"/>
    <col min="11" max="11" width="9.75390625" style="6" customWidth="1"/>
    <col min="12" max="12" width="14.00390625" style="29" customWidth="1"/>
    <col min="13" max="13" width="7.875" style="6" bestFit="1" customWidth="1"/>
    <col min="14" max="14" width="10.375" style="6" bestFit="1" customWidth="1"/>
    <col min="15" max="15" width="15.375" style="5" bestFit="1" customWidth="1"/>
    <col min="16" max="16384" width="9.125" style="3" customWidth="1"/>
  </cols>
  <sheetData>
    <row r="1" spans="1:15" s="2" customFormat="1" ht="28.5" customHeight="1">
      <c r="A1" s="48" t="s">
        <v>288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243</v>
      </c>
      <c r="F3" s="43" t="s">
        <v>5</v>
      </c>
      <c r="G3" s="43" t="s">
        <v>6</v>
      </c>
      <c r="H3" s="43"/>
      <c r="I3" s="43"/>
      <c r="J3" s="43"/>
      <c r="K3" s="43" t="s">
        <v>244</v>
      </c>
      <c r="L3" s="43"/>
      <c r="M3" s="43" t="s">
        <v>7</v>
      </c>
      <c r="N3" s="43" t="s">
        <v>8</v>
      </c>
      <c r="O3" s="45" t="s">
        <v>9</v>
      </c>
    </row>
    <row r="4" spans="1:15" s="1" customFormat="1" ht="21" customHeight="1" thickBot="1">
      <c r="A4" s="57"/>
      <c r="B4" s="40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10</v>
      </c>
      <c r="K4" s="4" t="s">
        <v>141</v>
      </c>
      <c r="L4" s="27" t="s">
        <v>142</v>
      </c>
      <c r="M4" s="44"/>
      <c r="N4" s="44"/>
      <c r="O4" s="46"/>
    </row>
    <row r="5" spans="1:12" ht="15">
      <c r="A5" s="47" t="s">
        <v>79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 ht="12.75">
      <c r="A6" s="8" t="s">
        <v>12</v>
      </c>
      <c r="B6" s="7" t="s">
        <v>289</v>
      </c>
      <c r="C6" s="7" t="s">
        <v>290</v>
      </c>
      <c r="D6" s="7" t="s">
        <v>91</v>
      </c>
      <c r="E6" s="7" t="str">
        <f>"0,6395"</f>
        <v>0,6395</v>
      </c>
      <c r="F6" s="7" t="s">
        <v>135</v>
      </c>
      <c r="G6" s="9" t="s">
        <v>78</v>
      </c>
      <c r="H6" s="9" t="s">
        <v>90</v>
      </c>
      <c r="I6" s="9" t="s">
        <v>94</v>
      </c>
      <c r="J6" s="10" t="s">
        <v>291</v>
      </c>
      <c r="K6" s="8" t="s">
        <v>27</v>
      </c>
      <c r="L6" s="28">
        <v>122</v>
      </c>
      <c r="M6" s="8" t="str">
        <f>"407,0"</f>
        <v>407,0</v>
      </c>
      <c r="N6" s="8" t="str">
        <f>"17187,8421"</f>
        <v>17187,8421</v>
      </c>
      <c r="O6" s="7" t="s">
        <v>28</v>
      </c>
    </row>
    <row r="7" ht="12.75">
      <c r="B7" s="5" t="s">
        <v>30</v>
      </c>
    </row>
  </sheetData>
  <sheetProtection/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1" sqref="A1:O2"/>
    </sheetView>
  </sheetViews>
  <sheetFormatPr defaultColWidth="9.125" defaultRowHeight="12.75"/>
  <cols>
    <col min="1" max="1" width="7.375" style="5" bestFit="1" customWidth="1"/>
    <col min="2" max="2" width="18.375" style="5" bestFit="1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17.375" style="5" bestFit="1" customWidth="1"/>
    <col min="7" max="9" width="5.375" style="6" customWidth="1"/>
    <col min="10" max="10" width="4.875" style="6" customWidth="1"/>
    <col min="11" max="11" width="11.75390625" style="6" customWidth="1"/>
    <col min="12" max="12" width="10.375" style="29" customWidth="1"/>
    <col min="13" max="13" width="7.875" style="22" bestFit="1" customWidth="1"/>
    <col min="14" max="14" width="9.375" style="33" bestFit="1" customWidth="1"/>
    <col min="15" max="15" width="16.375" style="5" customWidth="1"/>
    <col min="16" max="16384" width="9.125" style="3" customWidth="1"/>
  </cols>
  <sheetData>
    <row r="1" spans="1:15" s="2" customFormat="1" ht="28.5" customHeight="1">
      <c r="A1" s="48" t="s">
        <v>292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243</v>
      </c>
      <c r="F3" s="43" t="s">
        <v>5</v>
      </c>
      <c r="G3" s="43" t="s">
        <v>235</v>
      </c>
      <c r="H3" s="43"/>
      <c r="I3" s="43"/>
      <c r="J3" s="43"/>
      <c r="K3" s="43" t="s">
        <v>244</v>
      </c>
      <c r="L3" s="43"/>
      <c r="M3" s="41" t="s">
        <v>7</v>
      </c>
      <c r="N3" s="59" t="s">
        <v>8</v>
      </c>
      <c r="O3" s="45" t="s">
        <v>9</v>
      </c>
    </row>
    <row r="4" spans="1:15" s="1" customFormat="1" ht="21" customHeight="1" thickBot="1">
      <c r="A4" s="57"/>
      <c r="B4" s="40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10</v>
      </c>
      <c r="K4" s="4" t="s">
        <v>141</v>
      </c>
      <c r="L4" s="27" t="s">
        <v>142</v>
      </c>
      <c r="M4" s="42"/>
      <c r="N4" s="60"/>
      <c r="O4" s="46"/>
    </row>
    <row r="5" spans="1:12" ht="15">
      <c r="A5" s="47" t="s">
        <v>83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 ht="12.75">
      <c r="A6" s="8" t="s">
        <v>12</v>
      </c>
      <c r="B6" s="7" t="s">
        <v>232</v>
      </c>
      <c r="C6" s="7" t="s">
        <v>233</v>
      </c>
      <c r="D6" s="7" t="s">
        <v>85</v>
      </c>
      <c r="E6" s="7" t="str">
        <f>"0,6118"</f>
        <v>0,6118</v>
      </c>
      <c r="F6" s="7" t="s">
        <v>39</v>
      </c>
      <c r="G6" s="9" t="s">
        <v>18</v>
      </c>
      <c r="H6" s="10" t="s">
        <v>43</v>
      </c>
      <c r="I6" s="10" t="s">
        <v>43</v>
      </c>
      <c r="J6" s="8"/>
      <c r="K6" s="8" t="s">
        <v>36</v>
      </c>
      <c r="L6" s="28">
        <v>50</v>
      </c>
      <c r="M6" s="25" t="str">
        <f>"150,0"</f>
        <v>150,0</v>
      </c>
      <c r="N6" s="34">
        <v>4894.4001</v>
      </c>
      <c r="O6" s="7" t="s">
        <v>234</v>
      </c>
    </row>
    <row r="7" ht="12.75">
      <c r="B7" s="5" t="s">
        <v>30</v>
      </c>
    </row>
  </sheetData>
  <sheetProtection/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1" sqref="A1:O2"/>
    </sheetView>
  </sheetViews>
  <sheetFormatPr defaultColWidth="9.125" defaultRowHeight="12.75"/>
  <cols>
    <col min="1" max="1" width="7.375" style="5" bestFit="1" customWidth="1"/>
    <col min="2" max="2" width="21.125" style="5" customWidth="1"/>
    <col min="3" max="3" width="28.375" style="5" bestFit="1" customWidth="1"/>
    <col min="4" max="4" width="21.375" style="5" bestFit="1" customWidth="1"/>
    <col min="5" max="5" width="15.125" style="5" bestFit="1" customWidth="1"/>
    <col min="6" max="6" width="17.375" style="5" bestFit="1" customWidth="1"/>
    <col min="7" max="9" width="5.375" style="6" customWidth="1"/>
    <col min="10" max="10" width="4.875" style="6" customWidth="1"/>
    <col min="11" max="11" width="10.25390625" style="6" customWidth="1"/>
    <col min="12" max="12" width="14.00390625" style="6" customWidth="1"/>
    <col min="13" max="13" width="7.875" style="22" bestFit="1" customWidth="1"/>
    <col min="14" max="14" width="9.375" style="33" bestFit="1" customWidth="1"/>
    <col min="15" max="15" width="21.00390625" style="5" customWidth="1"/>
    <col min="16" max="16384" width="9.125" style="3" customWidth="1"/>
  </cols>
  <sheetData>
    <row r="1" spans="1:15" s="2" customFormat="1" ht="28.5" customHeight="1">
      <c r="A1" s="48" t="s">
        <v>293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243</v>
      </c>
      <c r="F3" s="43" t="s">
        <v>5</v>
      </c>
      <c r="G3" s="43" t="s">
        <v>6</v>
      </c>
      <c r="H3" s="43"/>
      <c r="I3" s="43"/>
      <c r="J3" s="43"/>
      <c r="K3" s="43" t="s">
        <v>244</v>
      </c>
      <c r="L3" s="43"/>
      <c r="M3" s="41" t="s">
        <v>7</v>
      </c>
      <c r="N3" s="59" t="s">
        <v>8</v>
      </c>
      <c r="O3" s="45" t="s">
        <v>9</v>
      </c>
    </row>
    <row r="4" spans="1:15" s="1" customFormat="1" ht="21" customHeight="1" thickBot="1">
      <c r="A4" s="57"/>
      <c r="B4" s="40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10</v>
      </c>
      <c r="K4" s="4" t="s">
        <v>141</v>
      </c>
      <c r="L4" s="4" t="s">
        <v>142</v>
      </c>
      <c r="M4" s="42"/>
      <c r="N4" s="60"/>
      <c r="O4" s="46"/>
    </row>
    <row r="5" spans="1:12" ht="15">
      <c r="A5" s="47" t="s">
        <v>294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 ht="12.75">
      <c r="A6" s="8" t="s">
        <v>12</v>
      </c>
      <c r="B6" s="7" t="s">
        <v>295</v>
      </c>
      <c r="C6" s="7" t="s">
        <v>296</v>
      </c>
      <c r="D6" s="7" t="s">
        <v>297</v>
      </c>
      <c r="E6" s="7" t="str">
        <f>"0,5816"</f>
        <v>0,5816</v>
      </c>
      <c r="F6" s="7" t="s">
        <v>39</v>
      </c>
      <c r="G6" s="9" t="s">
        <v>61</v>
      </c>
      <c r="H6" s="9" t="s">
        <v>66</v>
      </c>
      <c r="I6" s="9" t="s">
        <v>45</v>
      </c>
      <c r="J6" s="8"/>
      <c r="K6" s="8" t="s">
        <v>33</v>
      </c>
      <c r="L6" s="8" t="s">
        <v>298</v>
      </c>
      <c r="M6" s="25">
        <v>0</v>
      </c>
      <c r="N6" s="34">
        <v>0</v>
      </c>
      <c r="O6" s="7" t="s">
        <v>241</v>
      </c>
    </row>
    <row r="7" ht="12.75">
      <c r="B7" s="5" t="s">
        <v>30</v>
      </c>
    </row>
  </sheetData>
  <sheetProtection/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1" sqref="A1:O2"/>
    </sheetView>
  </sheetViews>
  <sheetFormatPr defaultColWidth="9.125" defaultRowHeight="12.75"/>
  <cols>
    <col min="1" max="1" width="7.375" style="5" bestFit="1" customWidth="1"/>
    <col min="2" max="2" width="15.375" style="5" bestFit="1" customWidth="1"/>
    <col min="3" max="3" width="26.25390625" style="5" bestFit="1" customWidth="1"/>
    <col min="4" max="4" width="21.375" style="5" bestFit="1" customWidth="1"/>
    <col min="5" max="5" width="15.125" style="5" bestFit="1" customWidth="1"/>
    <col min="6" max="6" width="17.375" style="5" bestFit="1" customWidth="1"/>
    <col min="7" max="9" width="5.375" style="6" customWidth="1"/>
    <col min="10" max="10" width="4.875" style="6" customWidth="1"/>
    <col min="11" max="11" width="11.25390625" style="6" customWidth="1"/>
    <col min="12" max="12" width="10.375" style="29" customWidth="1"/>
    <col min="13" max="13" width="7.875" style="6" bestFit="1" customWidth="1"/>
    <col min="14" max="14" width="9.375" style="6" bestFit="1" customWidth="1"/>
    <col min="15" max="15" width="18.25390625" style="5" customWidth="1"/>
    <col min="16" max="16384" width="9.125" style="3" customWidth="1"/>
  </cols>
  <sheetData>
    <row r="1" spans="1:15" s="2" customFormat="1" ht="28.5" customHeight="1">
      <c r="A1" s="48" t="s">
        <v>299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243</v>
      </c>
      <c r="F3" s="43" t="s">
        <v>5</v>
      </c>
      <c r="G3" s="43" t="s">
        <v>6</v>
      </c>
      <c r="H3" s="43"/>
      <c r="I3" s="43"/>
      <c r="J3" s="43"/>
      <c r="K3" s="43" t="s">
        <v>244</v>
      </c>
      <c r="L3" s="43"/>
      <c r="M3" s="43" t="s">
        <v>7</v>
      </c>
      <c r="N3" s="43" t="s">
        <v>8</v>
      </c>
      <c r="O3" s="45" t="s">
        <v>9</v>
      </c>
    </row>
    <row r="4" spans="1:15" s="1" customFormat="1" ht="21" customHeight="1" thickBot="1">
      <c r="A4" s="57"/>
      <c r="B4" s="40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10</v>
      </c>
      <c r="K4" s="4" t="s">
        <v>141</v>
      </c>
      <c r="L4" s="27" t="s">
        <v>142</v>
      </c>
      <c r="M4" s="44"/>
      <c r="N4" s="44"/>
      <c r="O4" s="46"/>
    </row>
    <row r="5" spans="1:12" ht="15">
      <c r="A5" s="47" t="s">
        <v>240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 ht="12.75">
      <c r="A6" s="8" t="s">
        <v>12</v>
      </c>
      <c r="B6" s="7" t="s">
        <v>251</v>
      </c>
      <c r="C6" s="7" t="s">
        <v>252</v>
      </c>
      <c r="D6" s="7" t="s">
        <v>231</v>
      </c>
      <c r="E6" s="7" t="str">
        <f>"0,6981"</f>
        <v>0,6981</v>
      </c>
      <c r="F6" s="7" t="s">
        <v>80</v>
      </c>
      <c r="G6" s="9" t="s">
        <v>33</v>
      </c>
      <c r="H6" s="10" t="s">
        <v>57</v>
      </c>
      <c r="I6" s="10" t="s">
        <v>57</v>
      </c>
      <c r="J6" s="8"/>
      <c r="K6" s="8" t="s">
        <v>50</v>
      </c>
      <c r="L6" s="28">
        <v>117</v>
      </c>
      <c r="M6" s="8" t="str">
        <f>"237,0"</f>
        <v>237,0</v>
      </c>
      <c r="N6" s="8" t="str">
        <f>"7782,4185"</f>
        <v>7782,4185</v>
      </c>
      <c r="O6" s="7" t="s">
        <v>254</v>
      </c>
    </row>
    <row r="7" ht="12.75">
      <c r="B7" s="5" t="s">
        <v>30</v>
      </c>
    </row>
  </sheetData>
  <sheetProtection/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17.875" style="5" bestFit="1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20.375" style="5" customWidth="1"/>
    <col min="7" max="7" width="11.00390625" style="6" customWidth="1"/>
    <col min="8" max="8" width="12.25390625" style="29" customWidth="1"/>
    <col min="9" max="9" width="7.875" style="6" bestFit="1" customWidth="1"/>
    <col min="10" max="10" width="9.375" style="6" bestFit="1" customWidth="1"/>
    <col min="11" max="11" width="18.25390625" style="5" customWidth="1"/>
    <col min="12" max="16384" width="9.125" style="3" customWidth="1"/>
  </cols>
  <sheetData>
    <row r="1" spans="1:11" s="2" customFormat="1" ht="28.5" customHeight="1">
      <c r="A1" s="48" t="s">
        <v>301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4</v>
      </c>
      <c r="F3" s="43" t="s">
        <v>5</v>
      </c>
      <c r="G3" s="43" t="s">
        <v>244</v>
      </c>
      <c r="H3" s="43"/>
      <c r="I3" s="43" t="s">
        <v>140</v>
      </c>
      <c r="J3" s="43" t="s">
        <v>8</v>
      </c>
      <c r="K3" s="45" t="s">
        <v>9</v>
      </c>
    </row>
    <row r="4" spans="1:11" s="1" customFormat="1" ht="21" customHeight="1" thickBot="1">
      <c r="A4" s="57"/>
      <c r="B4" s="40"/>
      <c r="C4" s="44"/>
      <c r="D4" s="44"/>
      <c r="E4" s="44"/>
      <c r="F4" s="44"/>
      <c r="G4" s="4" t="s">
        <v>141</v>
      </c>
      <c r="H4" s="27" t="s">
        <v>142</v>
      </c>
      <c r="I4" s="44"/>
      <c r="J4" s="44"/>
      <c r="K4" s="46"/>
    </row>
    <row r="5" spans="1:8" ht="15">
      <c r="A5" s="47" t="s">
        <v>246</v>
      </c>
      <c r="B5" s="47"/>
      <c r="C5" s="47"/>
      <c r="D5" s="47"/>
      <c r="E5" s="47"/>
      <c r="F5" s="47"/>
      <c r="G5" s="47"/>
      <c r="H5" s="47"/>
    </row>
    <row r="6" spans="1:11" ht="12.75">
      <c r="A6" s="8" t="s">
        <v>12</v>
      </c>
      <c r="B6" s="7" t="s">
        <v>247</v>
      </c>
      <c r="C6" s="7" t="s">
        <v>248</v>
      </c>
      <c r="D6" s="7" t="s">
        <v>249</v>
      </c>
      <c r="E6" s="7" t="str">
        <f>"0,7544"</f>
        <v>0,7544</v>
      </c>
      <c r="F6" s="7" t="s">
        <v>250</v>
      </c>
      <c r="G6" s="8" t="s">
        <v>24</v>
      </c>
      <c r="H6" s="28">
        <v>35</v>
      </c>
      <c r="I6" s="8" t="str">
        <f>"2450,0"</f>
        <v>2450,0</v>
      </c>
      <c r="J6" s="8" t="str">
        <f>"2495,1780"</f>
        <v>2495,1780</v>
      </c>
      <c r="K6" s="7" t="s">
        <v>28</v>
      </c>
    </row>
    <row r="7" ht="12.75">
      <c r="B7" s="5" t="s">
        <v>30</v>
      </c>
    </row>
    <row r="8" spans="1:8" ht="15">
      <c r="A8" s="38" t="s">
        <v>240</v>
      </c>
      <c r="B8" s="38"/>
      <c r="C8" s="38"/>
      <c r="D8" s="38"/>
      <c r="E8" s="38"/>
      <c r="F8" s="38"/>
      <c r="G8" s="38"/>
      <c r="H8" s="38"/>
    </row>
    <row r="9" spans="1:11" ht="12.75">
      <c r="A9" s="8" t="s">
        <v>12</v>
      </c>
      <c r="B9" s="7" t="s">
        <v>251</v>
      </c>
      <c r="C9" s="7" t="s">
        <v>252</v>
      </c>
      <c r="D9" s="7" t="s">
        <v>253</v>
      </c>
      <c r="E9" s="7" t="str">
        <f>"0,6945"</f>
        <v>0,6945</v>
      </c>
      <c r="F9" s="7" t="s">
        <v>80</v>
      </c>
      <c r="G9" s="8" t="s">
        <v>14</v>
      </c>
      <c r="H9" s="28">
        <v>23</v>
      </c>
      <c r="I9" s="8" t="str">
        <f>"1840,0"</f>
        <v>1840,0</v>
      </c>
      <c r="J9" s="8" t="str">
        <f>"1277,8801"</f>
        <v>1277,8801</v>
      </c>
      <c r="K9" s="7" t="s">
        <v>254</v>
      </c>
    </row>
    <row r="10" ht="12.75">
      <c r="B10" s="5" t="s">
        <v>30</v>
      </c>
    </row>
    <row r="11" spans="1:8" ht="15">
      <c r="A11" s="38" t="s">
        <v>261</v>
      </c>
      <c r="B11" s="38"/>
      <c r="C11" s="38"/>
      <c r="D11" s="38"/>
      <c r="E11" s="38"/>
      <c r="F11" s="38"/>
      <c r="G11" s="38"/>
      <c r="H11" s="38"/>
    </row>
    <row r="12" spans="1:11" ht="12.75">
      <c r="A12" s="8" t="s">
        <v>12</v>
      </c>
      <c r="B12" s="7" t="s">
        <v>123</v>
      </c>
      <c r="C12" s="7" t="s">
        <v>124</v>
      </c>
      <c r="D12" s="7" t="s">
        <v>125</v>
      </c>
      <c r="E12" s="7" t="str">
        <f>"0,5634"</f>
        <v>0,5634</v>
      </c>
      <c r="F12" s="7" t="s">
        <v>39</v>
      </c>
      <c r="G12" s="8" t="s">
        <v>61</v>
      </c>
      <c r="H12" s="28">
        <v>9</v>
      </c>
      <c r="I12" s="8" t="str">
        <f>"1260,0"</f>
        <v>1260,0</v>
      </c>
      <c r="J12" s="8" t="str">
        <f>"920,7195"</f>
        <v>920,7195</v>
      </c>
      <c r="K12" s="7" t="s">
        <v>28</v>
      </c>
    </row>
    <row r="13" ht="12.75">
      <c r="B13" s="5" t="s">
        <v>30</v>
      </c>
    </row>
  </sheetData>
  <sheetProtection/>
  <mergeCells count="14">
    <mergeCell ref="J3:J4"/>
    <mergeCell ref="K3:K4"/>
    <mergeCell ref="A5:H5"/>
    <mergeCell ref="A1:K2"/>
    <mergeCell ref="A3:A4"/>
    <mergeCell ref="C3:C4"/>
    <mergeCell ref="D3:D4"/>
    <mergeCell ref="E3:E4"/>
    <mergeCell ref="F3:F4"/>
    <mergeCell ref="A8:H8"/>
    <mergeCell ref="A11:H11"/>
    <mergeCell ref="B3:B4"/>
    <mergeCell ref="G3:H3"/>
    <mergeCell ref="I3:I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16.875" style="5" bestFit="1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15.375" style="5" bestFit="1" customWidth="1"/>
    <col min="7" max="7" width="9.75390625" style="6" customWidth="1"/>
    <col min="8" max="8" width="13.00390625" style="29" customWidth="1"/>
    <col min="9" max="9" width="7.875" style="6" bestFit="1" customWidth="1"/>
    <col min="10" max="10" width="9.375" style="6" bestFit="1" customWidth="1"/>
    <col min="11" max="11" width="16.875" style="5" customWidth="1"/>
    <col min="12" max="16384" width="9.125" style="3" customWidth="1"/>
  </cols>
  <sheetData>
    <row r="1" spans="1:11" s="2" customFormat="1" ht="28.5" customHeight="1">
      <c r="A1" s="48" t="s">
        <v>302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4</v>
      </c>
      <c r="F3" s="43" t="s">
        <v>5</v>
      </c>
      <c r="G3" s="43" t="s">
        <v>244</v>
      </c>
      <c r="H3" s="43"/>
      <c r="I3" s="43" t="s">
        <v>140</v>
      </c>
      <c r="J3" s="43" t="s">
        <v>8</v>
      </c>
      <c r="K3" s="45" t="s">
        <v>9</v>
      </c>
    </row>
    <row r="4" spans="1:11" s="1" customFormat="1" ht="21" customHeight="1" thickBot="1">
      <c r="A4" s="57"/>
      <c r="B4" s="40"/>
      <c r="C4" s="44"/>
      <c r="D4" s="44"/>
      <c r="E4" s="44"/>
      <c r="F4" s="44"/>
      <c r="G4" s="4" t="s">
        <v>141</v>
      </c>
      <c r="H4" s="27" t="s">
        <v>142</v>
      </c>
      <c r="I4" s="44"/>
      <c r="J4" s="44"/>
      <c r="K4" s="46"/>
    </row>
    <row r="5" spans="1:8" ht="15">
      <c r="A5" s="47" t="s">
        <v>79</v>
      </c>
      <c r="B5" s="47"/>
      <c r="C5" s="47"/>
      <c r="D5" s="47"/>
      <c r="E5" s="47"/>
      <c r="F5" s="47"/>
      <c r="G5" s="47"/>
      <c r="H5" s="47"/>
    </row>
    <row r="6" spans="1:11" ht="12.75">
      <c r="A6" s="8" t="s">
        <v>12</v>
      </c>
      <c r="B6" s="7" t="s">
        <v>272</v>
      </c>
      <c r="C6" s="7" t="s">
        <v>273</v>
      </c>
      <c r="D6" s="7" t="s">
        <v>81</v>
      </c>
      <c r="E6" s="7" t="str">
        <f>"0,6410"</f>
        <v>0,6410</v>
      </c>
      <c r="F6" s="7" t="s">
        <v>274</v>
      </c>
      <c r="G6" s="8" t="s">
        <v>27</v>
      </c>
      <c r="H6" s="28">
        <v>30</v>
      </c>
      <c r="I6" s="8" t="str">
        <f>"2700,0"</f>
        <v>2700,0</v>
      </c>
      <c r="J6" s="8" t="str">
        <f>"1730,6999"</f>
        <v>1730,6999</v>
      </c>
      <c r="K6" s="7" t="s">
        <v>28</v>
      </c>
    </row>
    <row r="7" ht="12.75">
      <c r="B7" s="5" t="s">
        <v>30</v>
      </c>
    </row>
    <row r="8" spans="1:8" ht="15">
      <c r="A8" s="38" t="s">
        <v>83</v>
      </c>
      <c r="B8" s="38"/>
      <c r="C8" s="38"/>
      <c r="D8" s="38"/>
      <c r="E8" s="38"/>
      <c r="F8" s="38"/>
      <c r="G8" s="38"/>
      <c r="H8" s="38"/>
    </row>
    <row r="9" spans="1:11" ht="12.75">
      <c r="A9" s="8" t="s">
        <v>12</v>
      </c>
      <c r="B9" s="7" t="s">
        <v>277</v>
      </c>
      <c r="C9" s="7" t="s">
        <v>278</v>
      </c>
      <c r="D9" s="7" t="s">
        <v>279</v>
      </c>
      <c r="E9" s="7" t="str">
        <f>"0,6150"</f>
        <v>0,6150</v>
      </c>
      <c r="F9" s="7" t="s">
        <v>303</v>
      </c>
      <c r="G9" s="8" t="s">
        <v>18</v>
      </c>
      <c r="H9" s="28">
        <v>29</v>
      </c>
      <c r="I9" s="8" t="str">
        <f>"2900,0"</f>
        <v>2900,0</v>
      </c>
      <c r="J9" s="8" t="str">
        <f>"1861,9740"</f>
        <v>1861,9740</v>
      </c>
      <c r="K9" s="7" t="s">
        <v>28</v>
      </c>
    </row>
    <row r="10" ht="12.75">
      <c r="B10" s="5" t="s">
        <v>30</v>
      </c>
    </row>
  </sheetData>
  <sheetProtection/>
  <mergeCells count="13">
    <mergeCell ref="K3:K4"/>
    <mergeCell ref="A5:H5"/>
    <mergeCell ref="A1:K2"/>
    <mergeCell ref="A3:A4"/>
    <mergeCell ref="C3:C4"/>
    <mergeCell ref="D3:D4"/>
    <mergeCell ref="E3:E4"/>
    <mergeCell ref="F3:F4"/>
    <mergeCell ref="A8:H8"/>
    <mergeCell ref="B3:B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19.00390625" style="5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23.75390625" style="5" bestFit="1" customWidth="1"/>
    <col min="7" max="7" width="11.875" style="6" customWidth="1"/>
    <col min="8" max="8" width="13.25390625" style="29" customWidth="1"/>
    <col min="9" max="9" width="7.875" style="6" bestFit="1" customWidth="1"/>
    <col min="10" max="10" width="9.375" style="6" bestFit="1" customWidth="1"/>
    <col min="11" max="11" width="20.25390625" style="5" customWidth="1"/>
    <col min="12" max="16384" width="9.125" style="3" customWidth="1"/>
  </cols>
  <sheetData>
    <row r="1" spans="1:11" s="2" customFormat="1" ht="28.5" customHeight="1">
      <c r="A1" s="48" t="s">
        <v>304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4</v>
      </c>
      <c r="F3" s="43" t="s">
        <v>5</v>
      </c>
      <c r="G3" s="43" t="s">
        <v>244</v>
      </c>
      <c r="H3" s="43"/>
      <c r="I3" s="43" t="s">
        <v>140</v>
      </c>
      <c r="J3" s="43" t="s">
        <v>8</v>
      </c>
      <c r="K3" s="45" t="s">
        <v>9</v>
      </c>
    </row>
    <row r="4" spans="1:11" s="1" customFormat="1" ht="21" customHeight="1" thickBot="1">
      <c r="A4" s="57"/>
      <c r="B4" s="40"/>
      <c r="C4" s="44"/>
      <c r="D4" s="44"/>
      <c r="E4" s="44"/>
      <c r="F4" s="44"/>
      <c r="G4" s="4" t="s">
        <v>141</v>
      </c>
      <c r="H4" s="27" t="s">
        <v>142</v>
      </c>
      <c r="I4" s="44"/>
      <c r="J4" s="44"/>
      <c r="K4" s="46"/>
    </row>
    <row r="5" spans="1:8" ht="15">
      <c r="A5" s="47" t="s">
        <v>246</v>
      </c>
      <c r="B5" s="47"/>
      <c r="C5" s="47"/>
      <c r="D5" s="47"/>
      <c r="E5" s="47"/>
      <c r="F5" s="47"/>
      <c r="G5" s="47"/>
      <c r="H5" s="47"/>
    </row>
    <row r="6" spans="1:11" ht="12.75">
      <c r="A6" s="8" t="s">
        <v>12</v>
      </c>
      <c r="B6" s="7" t="s">
        <v>305</v>
      </c>
      <c r="C6" s="7" t="s">
        <v>306</v>
      </c>
      <c r="D6" s="7" t="s">
        <v>97</v>
      </c>
      <c r="E6" s="7" t="str">
        <f>"0,7729"</f>
        <v>0,7729</v>
      </c>
      <c r="F6" s="7" t="s">
        <v>229</v>
      </c>
      <c r="G6" s="8" t="s">
        <v>53</v>
      </c>
      <c r="H6" s="28">
        <v>26</v>
      </c>
      <c r="I6" s="8" t="str">
        <f>"910,0"</f>
        <v>910,0</v>
      </c>
      <c r="J6" s="8" t="str">
        <f>"1392,6112"</f>
        <v>1392,6112</v>
      </c>
      <c r="K6" s="7" t="s">
        <v>28</v>
      </c>
    </row>
    <row r="7" ht="12.75">
      <c r="B7" s="5" t="s">
        <v>30</v>
      </c>
    </row>
    <row r="8" spans="1:8" ht="15">
      <c r="A8" s="38" t="s">
        <v>79</v>
      </c>
      <c r="B8" s="38"/>
      <c r="C8" s="38"/>
      <c r="D8" s="38"/>
      <c r="E8" s="38"/>
      <c r="F8" s="38"/>
      <c r="G8" s="38"/>
      <c r="H8" s="38"/>
    </row>
    <row r="9" spans="1:11" ht="12.75">
      <c r="A9" s="8" t="s">
        <v>12</v>
      </c>
      <c r="B9" s="7" t="s">
        <v>195</v>
      </c>
      <c r="C9" s="7" t="s">
        <v>307</v>
      </c>
      <c r="D9" s="7" t="s">
        <v>197</v>
      </c>
      <c r="E9" s="7" t="str">
        <f>"0,6583"</f>
        <v>0,6583</v>
      </c>
      <c r="F9" s="7" t="s">
        <v>198</v>
      </c>
      <c r="G9" s="8" t="s">
        <v>16</v>
      </c>
      <c r="H9" s="28">
        <v>99</v>
      </c>
      <c r="I9" s="8" t="str">
        <f>"4455,0"</f>
        <v>4455,0</v>
      </c>
      <c r="J9" s="8" t="str">
        <f>"4495,8696"</f>
        <v>4495,8696</v>
      </c>
      <c r="K9" s="7" t="s">
        <v>308</v>
      </c>
    </row>
    <row r="10" ht="12.75">
      <c r="B10" s="5" t="s">
        <v>30</v>
      </c>
    </row>
  </sheetData>
  <sheetProtection/>
  <mergeCells count="13">
    <mergeCell ref="K3:K4"/>
    <mergeCell ref="A5:H5"/>
    <mergeCell ref="A1:K2"/>
    <mergeCell ref="A3:A4"/>
    <mergeCell ref="C3:C4"/>
    <mergeCell ref="D3:D4"/>
    <mergeCell ref="E3:E4"/>
    <mergeCell ref="F3:F4"/>
    <mergeCell ref="A8:H8"/>
    <mergeCell ref="B3:B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16.375" style="5" bestFit="1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23.625" style="5" bestFit="1" customWidth="1"/>
    <col min="7" max="7" width="11.375" style="6" customWidth="1"/>
    <col min="8" max="8" width="12.375" style="29" customWidth="1"/>
    <col min="9" max="9" width="7.875" style="6" bestFit="1" customWidth="1"/>
    <col min="10" max="10" width="9.375" style="6" bestFit="1" customWidth="1"/>
    <col min="11" max="11" width="18.125" style="5" customWidth="1"/>
    <col min="12" max="16384" width="9.125" style="3" customWidth="1"/>
  </cols>
  <sheetData>
    <row r="1" spans="1:11" s="2" customFormat="1" ht="28.5" customHeight="1">
      <c r="A1" s="48" t="s">
        <v>309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4</v>
      </c>
      <c r="F3" s="43" t="s">
        <v>5</v>
      </c>
      <c r="G3" s="43" t="s">
        <v>244</v>
      </c>
      <c r="H3" s="43"/>
      <c r="I3" s="43" t="s">
        <v>140</v>
      </c>
      <c r="J3" s="43" t="s">
        <v>8</v>
      </c>
      <c r="K3" s="45" t="s">
        <v>9</v>
      </c>
    </row>
    <row r="4" spans="1:11" s="1" customFormat="1" ht="21" customHeight="1">
      <c r="A4" s="57"/>
      <c r="B4" s="40"/>
      <c r="C4" s="44"/>
      <c r="D4" s="44"/>
      <c r="E4" s="44"/>
      <c r="F4" s="44"/>
      <c r="G4" s="4" t="s">
        <v>141</v>
      </c>
      <c r="H4" s="27" t="s">
        <v>142</v>
      </c>
      <c r="I4" s="44"/>
      <c r="J4" s="44"/>
      <c r="K4" s="46"/>
    </row>
    <row r="5" spans="1:8" ht="15">
      <c r="A5" s="38" t="s">
        <v>240</v>
      </c>
      <c r="B5" s="38"/>
      <c r="C5" s="38"/>
      <c r="D5" s="38"/>
      <c r="E5" s="38"/>
      <c r="F5" s="38"/>
      <c r="G5" s="38"/>
      <c r="H5" s="38"/>
    </row>
    <row r="6" spans="1:11" ht="12.75">
      <c r="A6" s="12" t="s">
        <v>12</v>
      </c>
      <c r="B6" s="11" t="s">
        <v>310</v>
      </c>
      <c r="C6" s="11" t="s">
        <v>311</v>
      </c>
      <c r="D6" s="11" t="s">
        <v>236</v>
      </c>
      <c r="E6" s="11" t="str">
        <f>"0,7061"</f>
        <v>0,7061</v>
      </c>
      <c r="F6" s="11" t="s">
        <v>312</v>
      </c>
      <c r="G6" s="12" t="s">
        <v>14</v>
      </c>
      <c r="H6" s="30">
        <v>152</v>
      </c>
      <c r="I6" s="12" t="str">
        <f>"12160,0"</f>
        <v>12160,0</v>
      </c>
      <c r="J6" s="12" t="str">
        <f>"8586,1758"</f>
        <v>8586,1758</v>
      </c>
      <c r="K6" s="11" t="s">
        <v>313</v>
      </c>
    </row>
    <row r="7" spans="1:11" ht="12.75">
      <c r="A7" s="14" t="s">
        <v>12</v>
      </c>
      <c r="B7" s="13" t="s">
        <v>310</v>
      </c>
      <c r="C7" s="13" t="s">
        <v>314</v>
      </c>
      <c r="D7" s="13" t="s">
        <v>236</v>
      </c>
      <c r="E7" s="13" t="str">
        <f>"0,7061"</f>
        <v>0,7061</v>
      </c>
      <c r="F7" s="13" t="s">
        <v>312</v>
      </c>
      <c r="G7" s="14" t="s">
        <v>14</v>
      </c>
      <c r="H7" s="31">
        <v>152</v>
      </c>
      <c r="I7" s="14" t="str">
        <f>"12160,0"</f>
        <v>12160,0</v>
      </c>
      <c r="J7" s="14" t="str">
        <f>"9719,5511"</f>
        <v>9719,5511</v>
      </c>
      <c r="K7" s="13" t="s">
        <v>313</v>
      </c>
    </row>
    <row r="8" ht="12.75">
      <c r="B8" s="5" t="s">
        <v>30</v>
      </c>
    </row>
    <row r="9" spans="1:8" ht="15">
      <c r="A9" s="38" t="s">
        <v>79</v>
      </c>
      <c r="B9" s="38"/>
      <c r="C9" s="38"/>
      <c r="D9" s="38"/>
      <c r="E9" s="38"/>
      <c r="F9" s="38"/>
      <c r="G9" s="38"/>
      <c r="H9" s="38"/>
    </row>
    <row r="10" spans="1:11" ht="12.75">
      <c r="A10" s="35" t="s">
        <v>12</v>
      </c>
      <c r="B10" s="36" t="s">
        <v>286</v>
      </c>
      <c r="C10" s="36" t="s">
        <v>287</v>
      </c>
      <c r="D10" s="36" t="s">
        <v>109</v>
      </c>
      <c r="E10" s="36" t="str">
        <f>"0,6391"</f>
        <v>0,6391</v>
      </c>
      <c r="F10" s="36" t="s">
        <v>162</v>
      </c>
      <c r="G10" s="35" t="s">
        <v>27</v>
      </c>
      <c r="H10" s="37">
        <v>42</v>
      </c>
      <c r="I10" s="35" t="str">
        <f>"3780,0"</f>
        <v>3780,0</v>
      </c>
      <c r="J10" s="35" t="str">
        <f>"2415,7981"</f>
        <v>2415,7981</v>
      </c>
      <c r="K10" s="36" t="s">
        <v>28</v>
      </c>
    </row>
    <row r="11" ht="12.75">
      <c r="B11" s="5" t="s">
        <v>30</v>
      </c>
    </row>
  </sheetData>
  <sheetProtection/>
  <mergeCells count="13">
    <mergeCell ref="A9:H9"/>
    <mergeCell ref="A5:H5"/>
    <mergeCell ref="B3:B4"/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19.875" style="5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17.00390625" style="5" bestFit="1" customWidth="1"/>
    <col min="7" max="7" width="11.00390625" style="6" customWidth="1"/>
    <col min="8" max="8" width="13.125" style="29" customWidth="1"/>
    <col min="9" max="9" width="7.875" style="6" bestFit="1" customWidth="1"/>
    <col min="10" max="10" width="9.375" style="6" bestFit="1" customWidth="1"/>
    <col min="11" max="11" width="21.00390625" style="5" customWidth="1"/>
    <col min="12" max="16384" width="9.125" style="3" customWidth="1"/>
  </cols>
  <sheetData>
    <row r="1" spans="1:11" s="2" customFormat="1" ht="28.5" customHeight="1">
      <c r="A1" s="48" t="s">
        <v>315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4</v>
      </c>
      <c r="F3" s="43" t="s">
        <v>5</v>
      </c>
      <c r="G3" s="43" t="s">
        <v>244</v>
      </c>
      <c r="H3" s="43"/>
      <c r="I3" s="43" t="s">
        <v>140</v>
      </c>
      <c r="J3" s="43" t="s">
        <v>8</v>
      </c>
      <c r="K3" s="45" t="s">
        <v>9</v>
      </c>
    </row>
    <row r="4" spans="1:11" s="1" customFormat="1" ht="21" customHeight="1" thickBot="1">
      <c r="A4" s="57"/>
      <c r="B4" s="40"/>
      <c r="C4" s="44"/>
      <c r="D4" s="44"/>
      <c r="E4" s="44"/>
      <c r="F4" s="44"/>
      <c r="G4" s="4" t="s">
        <v>141</v>
      </c>
      <c r="H4" s="27" t="s">
        <v>142</v>
      </c>
      <c r="I4" s="44"/>
      <c r="J4" s="44"/>
      <c r="K4" s="46"/>
    </row>
    <row r="5" spans="1:8" ht="15">
      <c r="A5" s="47" t="s">
        <v>240</v>
      </c>
      <c r="B5" s="47"/>
      <c r="C5" s="47"/>
      <c r="D5" s="47"/>
      <c r="E5" s="47"/>
      <c r="F5" s="47"/>
      <c r="G5" s="47"/>
      <c r="H5" s="47"/>
    </row>
    <row r="6" spans="1:11" ht="12.75">
      <c r="A6" s="12" t="s">
        <v>12</v>
      </c>
      <c r="B6" s="11" t="s">
        <v>310</v>
      </c>
      <c r="C6" s="11" t="s">
        <v>311</v>
      </c>
      <c r="D6" s="11" t="s">
        <v>236</v>
      </c>
      <c r="E6" s="11" t="str">
        <f>"0,7061"</f>
        <v>0,7061</v>
      </c>
      <c r="F6" s="11" t="s">
        <v>312</v>
      </c>
      <c r="G6" s="12" t="s">
        <v>33</v>
      </c>
      <c r="H6" s="30">
        <v>48</v>
      </c>
      <c r="I6" s="12" t="str">
        <f>"5760,0"</f>
        <v>5760,0</v>
      </c>
      <c r="J6" s="12" t="str">
        <f>"4067,1359"</f>
        <v>4067,1359</v>
      </c>
      <c r="K6" s="11" t="s">
        <v>313</v>
      </c>
    </row>
    <row r="7" spans="1:11" ht="12.75">
      <c r="A7" s="14" t="s">
        <v>12</v>
      </c>
      <c r="B7" s="13" t="s">
        <v>310</v>
      </c>
      <c r="C7" s="13" t="s">
        <v>314</v>
      </c>
      <c r="D7" s="13" t="s">
        <v>236</v>
      </c>
      <c r="E7" s="13" t="str">
        <f>"0,7061"</f>
        <v>0,7061</v>
      </c>
      <c r="F7" s="13" t="s">
        <v>312</v>
      </c>
      <c r="G7" s="14" t="s">
        <v>33</v>
      </c>
      <c r="H7" s="31">
        <v>48</v>
      </c>
      <c r="I7" s="14" t="str">
        <f>"5760,0"</f>
        <v>5760,0</v>
      </c>
      <c r="J7" s="14" t="str">
        <f>"4603,9979"</f>
        <v>4603,9979</v>
      </c>
      <c r="K7" s="13" t="s">
        <v>313</v>
      </c>
    </row>
    <row r="8" ht="12.75">
      <c r="B8" s="5" t="s">
        <v>30</v>
      </c>
    </row>
    <row r="9" spans="1:8" ht="15">
      <c r="A9" s="38" t="s">
        <v>294</v>
      </c>
      <c r="B9" s="38"/>
      <c r="C9" s="38"/>
      <c r="D9" s="38"/>
      <c r="E9" s="38"/>
      <c r="F9" s="38"/>
      <c r="G9" s="38"/>
      <c r="H9" s="38"/>
    </row>
    <row r="10" spans="1:11" ht="12.75">
      <c r="A10" s="8" t="s">
        <v>12</v>
      </c>
      <c r="B10" s="7" t="s">
        <v>316</v>
      </c>
      <c r="C10" s="7" t="s">
        <v>317</v>
      </c>
      <c r="D10" s="7" t="s">
        <v>318</v>
      </c>
      <c r="E10" s="7" t="str">
        <f>"0,5792"</f>
        <v>0,5792</v>
      </c>
      <c r="F10" s="7" t="s">
        <v>300</v>
      </c>
      <c r="G10" s="8" t="s">
        <v>84</v>
      </c>
      <c r="H10" s="28">
        <v>46</v>
      </c>
      <c r="I10" s="8" t="str">
        <f>"8280,0"</f>
        <v>8280,0</v>
      </c>
      <c r="J10" s="8" t="str">
        <f>"4795,7762"</f>
        <v>4795,7762</v>
      </c>
      <c r="K10" s="7" t="s">
        <v>28</v>
      </c>
    </row>
    <row r="11" ht="12.75">
      <c r="B11" s="5" t="s">
        <v>30</v>
      </c>
    </row>
  </sheetData>
  <sheetProtection/>
  <mergeCells count="13">
    <mergeCell ref="K3:K4"/>
    <mergeCell ref="A5:H5"/>
    <mergeCell ref="A1:K2"/>
    <mergeCell ref="A3:A4"/>
    <mergeCell ref="C3:C4"/>
    <mergeCell ref="D3:D4"/>
    <mergeCell ref="E3:E4"/>
    <mergeCell ref="F3:F4"/>
    <mergeCell ref="A9:H9"/>
    <mergeCell ref="B3:B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20.125" style="5" bestFit="1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20.75390625" style="5" customWidth="1"/>
    <col min="7" max="7" width="13.25390625" style="6" customWidth="1"/>
    <col min="8" max="8" width="13.125" style="29" customWidth="1"/>
    <col min="9" max="9" width="7.875" style="6" bestFit="1" customWidth="1"/>
    <col min="10" max="10" width="9.375" style="6" bestFit="1" customWidth="1"/>
    <col min="11" max="11" width="20.875" style="5" customWidth="1"/>
    <col min="12" max="16384" width="9.125" style="3" customWidth="1"/>
  </cols>
  <sheetData>
    <row r="1" spans="1:11" s="2" customFormat="1" ht="28.5" customHeight="1">
      <c r="A1" s="48" t="s">
        <v>319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4</v>
      </c>
      <c r="F3" s="43" t="s">
        <v>5</v>
      </c>
      <c r="G3" s="43" t="s">
        <v>244</v>
      </c>
      <c r="H3" s="43"/>
      <c r="I3" s="43" t="s">
        <v>140</v>
      </c>
      <c r="J3" s="43" t="s">
        <v>8</v>
      </c>
      <c r="K3" s="45" t="s">
        <v>9</v>
      </c>
    </row>
    <row r="4" spans="1:11" s="1" customFormat="1" ht="21" customHeight="1" thickBot="1">
      <c r="A4" s="57"/>
      <c r="B4" s="40"/>
      <c r="C4" s="44"/>
      <c r="D4" s="44"/>
      <c r="E4" s="44"/>
      <c r="F4" s="44"/>
      <c r="G4" s="4" t="s">
        <v>141</v>
      </c>
      <c r="H4" s="27" t="s">
        <v>142</v>
      </c>
      <c r="I4" s="44"/>
      <c r="J4" s="44"/>
      <c r="K4" s="46"/>
    </row>
    <row r="5" spans="1:8" ht="15">
      <c r="A5" s="47" t="s">
        <v>79</v>
      </c>
      <c r="B5" s="47"/>
      <c r="C5" s="47"/>
      <c r="D5" s="47"/>
      <c r="E5" s="47"/>
      <c r="F5" s="47"/>
      <c r="G5" s="47"/>
      <c r="H5" s="47"/>
    </row>
    <row r="6" spans="1:11" ht="12.75">
      <c r="A6" s="8" t="s">
        <v>12</v>
      </c>
      <c r="B6" s="7" t="s">
        <v>320</v>
      </c>
      <c r="C6" s="7" t="s">
        <v>321</v>
      </c>
      <c r="D6" s="7" t="s">
        <v>322</v>
      </c>
      <c r="E6" s="7" t="str">
        <f>"0,6413"</f>
        <v>0,6413</v>
      </c>
      <c r="F6" s="7" t="s">
        <v>323</v>
      </c>
      <c r="G6" s="8" t="s">
        <v>16</v>
      </c>
      <c r="H6" s="28">
        <v>50</v>
      </c>
      <c r="I6" s="8" t="str">
        <f>"2250,0"</f>
        <v>2250,0</v>
      </c>
      <c r="J6" s="8" t="str">
        <f>"1442,9251"</f>
        <v>1442,9251</v>
      </c>
      <c r="K6" s="7" t="s">
        <v>28</v>
      </c>
    </row>
    <row r="7" ht="12.75">
      <c r="B7" s="5" t="s">
        <v>30</v>
      </c>
    </row>
    <row r="8" spans="1:8" ht="15">
      <c r="A8" s="38" t="s">
        <v>83</v>
      </c>
      <c r="B8" s="38"/>
      <c r="C8" s="38"/>
      <c r="D8" s="38"/>
      <c r="E8" s="38"/>
      <c r="F8" s="38"/>
      <c r="G8" s="38"/>
      <c r="H8" s="38"/>
    </row>
    <row r="9" spans="1:11" ht="12.75">
      <c r="A9" s="12" t="s">
        <v>12</v>
      </c>
      <c r="B9" s="11" t="s">
        <v>324</v>
      </c>
      <c r="C9" s="11" t="s">
        <v>325</v>
      </c>
      <c r="D9" s="11" t="s">
        <v>326</v>
      </c>
      <c r="E9" s="11" t="str">
        <f>"0,6349"</f>
        <v>0,6349</v>
      </c>
      <c r="F9" s="11" t="s">
        <v>327</v>
      </c>
      <c r="G9" s="12" t="s">
        <v>36</v>
      </c>
      <c r="H9" s="30">
        <v>52</v>
      </c>
      <c r="I9" s="12" t="str">
        <f>"2600,0"</f>
        <v>2600,0</v>
      </c>
      <c r="J9" s="12" t="str">
        <f>"1650,7399"</f>
        <v>1650,7399</v>
      </c>
      <c r="K9" s="11" t="s">
        <v>28</v>
      </c>
    </row>
    <row r="10" spans="1:11" ht="12.75">
      <c r="A10" s="14" t="s">
        <v>12</v>
      </c>
      <c r="B10" s="13" t="s">
        <v>324</v>
      </c>
      <c r="C10" s="13" t="s">
        <v>328</v>
      </c>
      <c r="D10" s="13" t="s">
        <v>326</v>
      </c>
      <c r="E10" s="13" t="str">
        <f>"0,6349"</f>
        <v>0,6349</v>
      </c>
      <c r="F10" s="13" t="s">
        <v>327</v>
      </c>
      <c r="G10" s="14" t="s">
        <v>36</v>
      </c>
      <c r="H10" s="31">
        <v>52</v>
      </c>
      <c r="I10" s="14" t="str">
        <f>"2600,0"</f>
        <v>2600,0</v>
      </c>
      <c r="J10" s="14" t="str">
        <f>"1696,9607"</f>
        <v>1696,9607</v>
      </c>
      <c r="K10" s="13" t="s">
        <v>28</v>
      </c>
    </row>
    <row r="11" ht="12.75">
      <c r="B11" s="5" t="s">
        <v>30</v>
      </c>
    </row>
    <row r="12" spans="1:8" ht="15">
      <c r="A12" s="38" t="s">
        <v>89</v>
      </c>
      <c r="B12" s="38"/>
      <c r="C12" s="38"/>
      <c r="D12" s="38"/>
      <c r="E12" s="38"/>
      <c r="F12" s="38"/>
      <c r="G12" s="38"/>
      <c r="H12" s="38"/>
    </row>
    <row r="13" spans="1:11" ht="12.75">
      <c r="A13" s="12" t="s">
        <v>12</v>
      </c>
      <c r="B13" s="11" t="s">
        <v>329</v>
      </c>
      <c r="C13" s="11" t="s">
        <v>330</v>
      </c>
      <c r="D13" s="11" t="s">
        <v>119</v>
      </c>
      <c r="E13" s="11" t="str">
        <f>"0,5893"</f>
        <v>0,5893</v>
      </c>
      <c r="F13" s="11" t="s">
        <v>98</v>
      </c>
      <c r="G13" s="12" t="s">
        <v>32</v>
      </c>
      <c r="H13" s="30">
        <v>35</v>
      </c>
      <c r="I13" s="12" t="str">
        <f>"1925,0"</f>
        <v>1925,0</v>
      </c>
      <c r="J13" s="12" t="str">
        <f>"1134,4025"</f>
        <v>1134,4025</v>
      </c>
      <c r="K13" s="11" t="s">
        <v>28</v>
      </c>
    </row>
    <row r="14" spans="1:11" ht="12.75">
      <c r="A14" s="16" t="s">
        <v>12</v>
      </c>
      <c r="B14" s="15" t="s">
        <v>329</v>
      </c>
      <c r="C14" s="15" t="s">
        <v>331</v>
      </c>
      <c r="D14" s="15" t="s">
        <v>119</v>
      </c>
      <c r="E14" s="15" t="str">
        <f>"0,5893"</f>
        <v>0,5893</v>
      </c>
      <c r="F14" s="15" t="s">
        <v>98</v>
      </c>
      <c r="G14" s="16" t="s">
        <v>32</v>
      </c>
      <c r="H14" s="32">
        <v>35</v>
      </c>
      <c r="I14" s="16" t="str">
        <f>"1925,0"</f>
        <v>1925,0</v>
      </c>
      <c r="J14" s="16" t="str">
        <f>"1134,4025"</f>
        <v>1134,4025</v>
      </c>
      <c r="K14" s="15" t="s">
        <v>28</v>
      </c>
    </row>
    <row r="15" spans="1:11" ht="12.75">
      <c r="A15" s="14" t="s">
        <v>29</v>
      </c>
      <c r="B15" s="13" t="s">
        <v>332</v>
      </c>
      <c r="C15" s="13" t="s">
        <v>333</v>
      </c>
      <c r="D15" s="13" t="s">
        <v>334</v>
      </c>
      <c r="E15" s="13" t="str">
        <f>"0,5948"</f>
        <v>0,5948</v>
      </c>
      <c r="F15" s="13" t="s">
        <v>39</v>
      </c>
      <c r="G15" s="14" t="s">
        <v>32</v>
      </c>
      <c r="H15" s="31">
        <v>18</v>
      </c>
      <c r="I15" s="14" t="str">
        <f>"990,0"</f>
        <v>990,0</v>
      </c>
      <c r="J15" s="14" t="str">
        <f>"591,7963"</f>
        <v>591,7963</v>
      </c>
      <c r="K15" s="13" t="s">
        <v>28</v>
      </c>
    </row>
    <row r="16" ht="12.75">
      <c r="B16" s="5" t="s">
        <v>30</v>
      </c>
    </row>
  </sheetData>
  <sheetProtection/>
  <mergeCells count="14">
    <mergeCell ref="J3:J4"/>
    <mergeCell ref="K3:K4"/>
    <mergeCell ref="A5:H5"/>
    <mergeCell ref="A1:K2"/>
    <mergeCell ref="A3:A4"/>
    <mergeCell ref="C3:C4"/>
    <mergeCell ref="D3:D4"/>
    <mergeCell ref="E3:E4"/>
    <mergeCell ref="F3:F4"/>
    <mergeCell ref="A8:H8"/>
    <mergeCell ref="A12:H12"/>
    <mergeCell ref="B3:B4"/>
    <mergeCell ref="G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7.375" style="5" bestFit="1" customWidth="1"/>
    <col min="2" max="2" width="21.00390625" style="5" bestFit="1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23.125" style="5" bestFit="1" customWidth="1"/>
    <col min="7" max="7" width="10.75390625" style="6" customWidth="1"/>
    <col min="8" max="8" width="10.375" style="22" customWidth="1"/>
    <col min="9" max="9" width="7.875" style="6" bestFit="1" customWidth="1"/>
    <col min="10" max="10" width="9.375" style="6" bestFit="1" customWidth="1"/>
    <col min="11" max="11" width="20.125" style="5" customWidth="1"/>
    <col min="12" max="16384" width="9.125" style="3" customWidth="1"/>
  </cols>
  <sheetData>
    <row r="1" spans="1:11" s="2" customFormat="1" ht="28.5" customHeight="1">
      <c r="A1" s="48" t="s">
        <v>154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134</v>
      </c>
      <c r="F3" s="43" t="s">
        <v>5</v>
      </c>
      <c r="G3" s="43" t="s">
        <v>139</v>
      </c>
      <c r="H3" s="43"/>
      <c r="I3" s="43" t="s">
        <v>140</v>
      </c>
      <c r="J3" s="43" t="s">
        <v>8</v>
      </c>
      <c r="K3" s="45" t="s">
        <v>9</v>
      </c>
    </row>
    <row r="4" spans="1:11" s="1" customFormat="1" ht="21" customHeight="1" thickBot="1">
      <c r="A4" s="57"/>
      <c r="B4" s="40"/>
      <c r="C4" s="44"/>
      <c r="D4" s="44"/>
      <c r="E4" s="44"/>
      <c r="F4" s="44"/>
      <c r="G4" s="4" t="s">
        <v>141</v>
      </c>
      <c r="H4" s="21" t="s">
        <v>142</v>
      </c>
      <c r="I4" s="44"/>
      <c r="J4" s="44"/>
      <c r="K4" s="46"/>
    </row>
    <row r="5" spans="1:8" ht="15">
      <c r="A5" s="47" t="s">
        <v>11</v>
      </c>
      <c r="B5" s="47"/>
      <c r="C5" s="47"/>
      <c r="D5" s="47"/>
      <c r="E5" s="47"/>
      <c r="F5" s="47"/>
      <c r="G5" s="47"/>
      <c r="H5" s="47"/>
    </row>
    <row r="6" spans="1:11" ht="12.75">
      <c r="A6" s="8" t="s">
        <v>12</v>
      </c>
      <c r="B6" s="7" t="s">
        <v>155</v>
      </c>
      <c r="C6" s="7" t="s">
        <v>156</v>
      </c>
      <c r="D6" s="7" t="s">
        <v>157</v>
      </c>
      <c r="E6" s="7" t="str">
        <f>"1,3437"</f>
        <v>1,3437</v>
      </c>
      <c r="F6" s="7" t="s">
        <v>39</v>
      </c>
      <c r="G6" s="8" t="s">
        <v>158</v>
      </c>
      <c r="H6" s="25">
        <v>17</v>
      </c>
      <c r="I6" s="8" t="str">
        <f>"382,5"</f>
        <v>382,5</v>
      </c>
      <c r="J6" s="8" t="str">
        <f>"513,9653"</f>
        <v>513,9653</v>
      </c>
      <c r="K6" s="7" t="s">
        <v>159</v>
      </c>
    </row>
    <row r="7" ht="12.75">
      <c r="B7" s="5" t="s">
        <v>30</v>
      </c>
    </row>
    <row r="8" spans="1:8" ht="15">
      <c r="A8" s="38" t="s">
        <v>64</v>
      </c>
      <c r="B8" s="38"/>
      <c r="C8" s="38"/>
      <c r="D8" s="38"/>
      <c r="E8" s="38"/>
      <c r="F8" s="38"/>
      <c r="G8" s="38"/>
      <c r="H8" s="38"/>
    </row>
    <row r="9" spans="1:11" ht="12.75">
      <c r="A9" s="12" t="s">
        <v>12</v>
      </c>
      <c r="B9" s="11" t="s">
        <v>160</v>
      </c>
      <c r="C9" s="11" t="s">
        <v>161</v>
      </c>
      <c r="D9" s="11" t="s">
        <v>70</v>
      </c>
      <c r="E9" s="11" t="str">
        <f>"0,6885"</f>
        <v>0,6885</v>
      </c>
      <c r="F9" s="11" t="s">
        <v>162</v>
      </c>
      <c r="G9" s="12" t="s">
        <v>13</v>
      </c>
      <c r="H9" s="23">
        <v>62</v>
      </c>
      <c r="I9" s="12" t="str">
        <f>"4650,0"</f>
        <v>4650,0</v>
      </c>
      <c r="J9" s="12" t="str">
        <f>"3201,7575"</f>
        <v>3201,7575</v>
      </c>
      <c r="K9" s="11" t="s">
        <v>163</v>
      </c>
    </row>
    <row r="10" spans="1:11" ht="12.75">
      <c r="A10" s="14" t="s">
        <v>12</v>
      </c>
      <c r="B10" s="13" t="s">
        <v>164</v>
      </c>
      <c r="C10" s="13" t="s">
        <v>165</v>
      </c>
      <c r="D10" s="13" t="s">
        <v>105</v>
      </c>
      <c r="E10" s="13" t="str">
        <f>"0,7086"</f>
        <v>0,7086</v>
      </c>
      <c r="F10" s="13" t="s">
        <v>162</v>
      </c>
      <c r="G10" s="14" t="s">
        <v>62</v>
      </c>
      <c r="H10" s="24">
        <v>150</v>
      </c>
      <c r="I10" s="14" t="str">
        <f>"10875,0"</f>
        <v>10875,0</v>
      </c>
      <c r="J10" s="14" t="str">
        <f>"7706,5687"</f>
        <v>7706,5687</v>
      </c>
      <c r="K10" s="13" t="s">
        <v>163</v>
      </c>
    </row>
    <row r="11" ht="12.75">
      <c r="B11" s="5" t="s">
        <v>30</v>
      </c>
    </row>
    <row r="12" spans="1:8" ht="15">
      <c r="A12" s="38" t="s">
        <v>74</v>
      </c>
      <c r="B12" s="38"/>
      <c r="C12" s="38"/>
      <c r="D12" s="38"/>
      <c r="E12" s="38"/>
      <c r="F12" s="38"/>
      <c r="G12" s="38"/>
      <c r="H12" s="38"/>
    </row>
    <row r="13" spans="1:11" ht="12.75">
      <c r="A13" s="8" t="s">
        <v>12</v>
      </c>
      <c r="B13" s="7" t="s">
        <v>166</v>
      </c>
      <c r="C13" s="7" t="s">
        <v>167</v>
      </c>
      <c r="D13" s="7" t="s">
        <v>77</v>
      </c>
      <c r="E13" s="7" t="str">
        <f>"0,6461"</f>
        <v>0,6461</v>
      </c>
      <c r="F13" s="7" t="s">
        <v>56</v>
      </c>
      <c r="G13" s="8" t="s">
        <v>51</v>
      </c>
      <c r="H13" s="25">
        <v>39</v>
      </c>
      <c r="I13" s="8" t="str">
        <f>"3217,5"</f>
        <v>3217,5</v>
      </c>
      <c r="J13" s="8" t="str">
        <f>"2078,9876"</f>
        <v>2078,9876</v>
      </c>
      <c r="K13" s="7" t="s">
        <v>168</v>
      </c>
    </row>
    <row r="14" ht="12.75">
      <c r="B14" s="5" t="s">
        <v>30</v>
      </c>
    </row>
    <row r="15" spans="1:8" ht="15">
      <c r="A15" s="38" t="s">
        <v>79</v>
      </c>
      <c r="B15" s="38"/>
      <c r="C15" s="38"/>
      <c r="D15" s="38"/>
      <c r="E15" s="38"/>
      <c r="F15" s="38"/>
      <c r="G15" s="38"/>
      <c r="H15" s="38"/>
    </row>
    <row r="16" spans="1:11" ht="12.75">
      <c r="A16" s="12" t="s">
        <v>12</v>
      </c>
      <c r="B16" s="11" t="s">
        <v>169</v>
      </c>
      <c r="C16" s="11" t="s">
        <v>170</v>
      </c>
      <c r="D16" s="11" t="s">
        <v>109</v>
      </c>
      <c r="E16" s="11" t="str">
        <f>"0,6126"</f>
        <v>0,6126</v>
      </c>
      <c r="F16" s="11" t="s">
        <v>171</v>
      </c>
      <c r="G16" s="12" t="s">
        <v>27</v>
      </c>
      <c r="H16" s="23">
        <v>69</v>
      </c>
      <c r="I16" s="12" t="str">
        <f>"6210,0"</f>
        <v>6210,0</v>
      </c>
      <c r="J16" s="12" t="str">
        <f>"3804,2462"</f>
        <v>3804,2462</v>
      </c>
      <c r="K16" s="11" t="s">
        <v>172</v>
      </c>
    </row>
    <row r="17" spans="1:11" ht="12.75">
      <c r="A17" s="16" t="s">
        <v>29</v>
      </c>
      <c r="B17" s="15" t="s">
        <v>173</v>
      </c>
      <c r="C17" s="15" t="s">
        <v>174</v>
      </c>
      <c r="D17" s="15" t="s">
        <v>175</v>
      </c>
      <c r="E17" s="15" t="str">
        <f>"0,6259"</f>
        <v>0,6259</v>
      </c>
      <c r="F17" s="15" t="s">
        <v>176</v>
      </c>
      <c r="G17" s="16" t="s">
        <v>38</v>
      </c>
      <c r="H17" s="26">
        <v>46</v>
      </c>
      <c r="I17" s="16" t="str">
        <f>"4025,0"</f>
        <v>4025,0</v>
      </c>
      <c r="J17" s="16" t="str">
        <f>"2519,4487"</f>
        <v>2519,4487</v>
      </c>
      <c r="K17" s="15" t="s">
        <v>28</v>
      </c>
    </row>
    <row r="18" spans="1:11" ht="12.75">
      <c r="A18" s="16" t="s">
        <v>12</v>
      </c>
      <c r="B18" s="15" t="s">
        <v>177</v>
      </c>
      <c r="C18" s="15" t="s">
        <v>178</v>
      </c>
      <c r="D18" s="15" t="s">
        <v>179</v>
      </c>
      <c r="E18" s="15" t="str">
        <f>"0,6263"</f>
        <v>0,6263</v>
      </c>
      <c r="F18" s="15" t="s">
        <v>39</v>
      </c>
      <c r="G18" s="16" t="s">
        <v>38</v>
      </c>
      <c r="H18" s="26">
        <v>30</v>
      </c>
      <c r="I18" s="16" t="str">
        <f>"2625,0"</f>
        <v>2625,0</v>
      </c>
      <c r="J18" s="16" t="str">
        <f>"1755,9722"</f>
        <v>1755,9722</v>
      </c>
      <c r="K18" s="15" t="s">
        <v>180</v>
      </c>
    </row>
    <row r="19" spans="1:11" ht="12.75">
      <c r="A19" s="14" t="s">
        <v>12</v>
      </c>
      <c r="B19" s="13" t="s">
        <v>181</v>
      </c>
      <c r="C19" s="13" t="s">
        <v>182</v>
      </c>
      <c r="D19" s="13" t="s">
        <v>175</v>
      </c>
      <c r="E19" s="13" t="str">
        <f>"0,6259"</f>
        <v>0,6259</v>
      </c>
      <c r="F19" s="13" t="s">
        <v>162</v>
      </c>
      <c r="G19" s="14" t="s">
        <v>38</v>
      </c>
      <c r="H19" s="24">
        <v>65</v>
      </c>
      <c r="I19" s="14" t="str">
        <f>"5687,5"</f>
        <v>5687,5</v>
      </c>
      <c r="J19" s="14" t="str">
        <f>"4361,1109"</f>
        <v>4361,1109</v>
      </c>
      <c r="K19" s="13" t="s">
        <v>28</v>
      </c>
    </row>
    <row r="20" ht="12.75">
      <c r="B20" s="5" t="s">
        <v>30</v>
      </c>
    </row>
    <row r="21" spans="1:8" ht="15">
      <c r="A21" s="38" t="s">
        <v>83</v>
      </c>
      <c r="B21" s="38"/>
      <c r="C21" s="38"/>
      <c r="D21" s="38"/>
      <c r="E21" s="38"/>
      <c r="F21" s="38"/>
      <c r="G21" s="38"/>
      <c r="H21" s="38"/>
    </row>
    <row r="22" spans="1:11" ht="12.75">
      <c r="A22" s="8" t="s">
        <v>12</v>
      </c>
      <c r="B22" s="7" t="s">
        <v>127</v>
      </c>
      <c r="C22" s="7" t="s">
        <v>183</v>
      </c>
      <c r="D22" s="7" t="s">
        <v>128</v>
      </c>
      <c r="E22" s="7" t="str">
        <f>"0,5977"</f>
        <v>0,5977</v>
      </c>
      <c r="F22" s="7" t="s">
        <v>39</v>
      </c>
      <c r="G22" s="8" t="s">
        <v>17</v>
      </c>
      <c r="H22" s="25">
        <v>23</v>
      </c>
      <c r="I22" s="8" t="str">
        <f>"2185,0"</f>
        <v>2185,0</v>
      </c>
      <c r="J22" s="8" t="str">
        <f>"1305,9745"</f>
        <v>1305,9745</v>
      </c>
      <c r="K22" s="7" t="s">
        <v>28</v>
      </c>
    </row>
    <row r="23" ht="12.75">
      <c r="B23" s="5" t="s">
        <v>30</v>
      </c>
    </row>
    <row r="24" spans="1:8" ht="15">
      <c r="A24" s="38" t="s">
        <v>89</v>
      </c>
      <c r="B24" s="38"/>
      <c r="C24" s="38"/>
      <c r="D24" s="38"/>
      <c r="E24" s="38"/>
      <c r="F24" s="38"/>
      <c r="G24" s="38"/>
      <c r="H24" s="38"/>
    </row>
    <row r="25" spans="1:11" ht="12.75">
      <c r="A25" s="12" t="s">
        <v>12</v>
      </c>
      <c r="B25" s="11" t="s">
        <v>184</v>
      </c>
      <c r="C25" s="11" t="s">
        <v>185</v>
      </c>
      <c r="D25" s="11" t="s">
        <v>186</v>
      </c>
      <c r="E25" s="11" t="str">
        <f>"0,5782"</f>
        <v>0,5782</v>
      </c>
      <c r="F25" s="11" t="s">
        <v>187</v>
      </c>
      <c r="G25" s="12" t="s">
        <v>19</v>
      </c>
      <c r="H25" s="23">
        <v>68</v>
      </c>
      <c r="I25" s="12" t="str">
        <f>"6970,0"</f>
        <v>6970,0</v>
      </c>
      <c r="J25" s="12" t="str">
        <f>"4030,4024"</f>
        <v>4030,4024</v>
      </c>
      <c r="K25" s="11" t="s">
        <v>188</v>
      </c>
    </row>
    <row r="26" spans="1:11" ht="12.75">
      <c r="A26" s="14" t="s">
        <v>12</v>
      </c>
      <c r="B26" s="13" t="s">
        <v>131</v>
      </c>
      <c r="C26" s="13" t="s">
        <v>189</v>
      </c>
      <c r="D26" s="13" t="s">
        <v>132</v>
      </c>
      <c r="E26" s="13" t="str">
        <f>"0,5709"</f>
        <v>0,5709</v>
      </c>
      <c r="F26" s="13" t="s">
        <v>103</v>
      </c>
      <c r="G26" s="14" t="s">
        <v>41</v>
      </c>
      <c r="H26" s="24">
        <v>12</v>
      </c>
      <c r="I26" s="14" t="str">
        <f>"1260,0"</f>
        <v>1260,0</v>
      </c>
      <c r="J26" s="14" t="str">
        <f>"912,0357"</f>
        <v>912,0357</v>
      </c>
      <c r="K26" s="13" t="s">
        <v>28</v>
      </c>
    </row>
    <row r="27" ht="12.75">
      <c r="B27" s="5" t="s">
        <v>30</v>
      </c>
    </row>
  </sheetData>
  <sheetProtection/>
  <mergeCells count="17">
    <mergeCell ref="A5:H5"/>
    <mergeCell ref="A1:K2"/>
    <mergeCell ref="A3:A4"/>
    <mergeCell ref="C3:C4"/>
    <mergeCell ref="D3:D4"/>
    <mergeCell ref="E3:E4"/>
    <mergeCell ref="F3:F4"/>
    <mergeCell ref="B3:B4"/>
    <mergeCell ref="G3:H3"/>
    <mergeCell ref="I3:I4"/>
    <mergeCell ref="J3:J4"/>
    <mergeCell ref="K3:K4"/>
    <mergeCell ref="A8:H8"/>
    <mergeCell ref="A12:H12"/>
    <mergeCell ref="A15:H15"/>
    <mergeCell ref="A21:H21"/>
    <mergeCell ref="A24:H2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19.25390625" style="5" bestFit="1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15.375" style="5" bestFit="1" customWidth="1"/>
    <col min="7" max="7" width="11.75390625" style="6" customWidth="1"/>
    <col min="8" max="8" width="14.75390625" style="29" customWidth="1"/>
    <col min="9" max="9" width="7.875" style="6" bestFit="1" customWidth="1"/>
    <col min="10" max="10" width="9.375" style="6" bestFit="1" customWidth="1"/>
    <col min="11" max="11" width="21.00390625" style="5" customWidth="1"/>
    <col min="12" max="16384" width="9.125" style="3" customWidth="1"/>
  </cols>
  <sheetData>
    <row r="1" spans="1:11" s="2" customFormat="1" ht="28.5" customHeight="1">
      <c r="A1" s="48" t="s">
        <v>335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4</v>
      </c>
      <c r="F3" s="43" t="s">
        <v>5</v>
      </c>
      <c r="G3" s="43" t="s">
        <v>244</v>
      </c>
      <c r="H3" s="43"/>
      <c r="I3" s="43" t="s">
        <v>140</v>
      </c>
      <c r="J3" s="43" t="s">
        <v>8</v>
      </c>
      <c r="K3" s="45" t="s">
        <v>9</v>
      </c>
    </row>
    <row r="4" spans="1:11" s="1" customFormat="1" ht="21" customHeight="1">
      <c r="A4" s="57"/>
      <c r="B4" s="40"/>
      <c r="C4" s="44"/>
      <c r="D4" s="44"/>
      <c r="E4" s="44"/>
      <c r="F4" s="44"/>
      <c r="G4" s="4" t="s">
        <v>141</v>
      </c>
      <c r="H4" s="27" t="s">
        <v>142</v>
      </c>
      <c r="I4" s="44"/>
      <c r="J4" s="44"/>
      <c r="K4" s="46"/>
    </row>
    <row r="5" spans="1:8" ht="15">
      <c r="A5" s="38" t="s">
        <v>240</v>
      </c>
      <c r="B5" s="38"/>
      <c r="C5" s="38"/>
      <c r="D5" s="38"/>
      <c r="E5" s="38"/>
      <c r="F5" s="38"/>
      <c r="G5" s="38"/>
      <c r="H5" s="38"/>
    </row>
    <row r="6" spans="1:11" ht="12.75">
      <c r="A6" s="8" t="s">
        <v>12</v>
      </c>
      <c r="B6" s="7" t="s">
        <v>251</v>
      </c>
      <c r="C6" s="7" t="s">
        <v>252</v>
      </c>
      <c r="D6" s="7" t="s">
        <v>231</v>
      </c>
      <c r="E6" s="7" t="str">
        <f>"0,6981"</f>
        <v>0,6981</v>
      </c>
      <c r="F6" s="7" t="s">
        <v>80</v>
      </c>
      <c r="G6" s="8" t="s">
        <v>50</v>
      </c>
      <c r="H6" s="28">
        <v>117</v>
      </c>
      <c r="I6" s="8" t="str">
        <f>"4680,0"</f>
        <v>4680,0</v>
      </c>
      <c r="J6" s="8" t="str">
        <f>"3267,1079"</f>
        <v>3267,1079</v>
      </c>
      <c r="K6" s="7" t="s">
        <v>254</v>
      </c>
    </row>
    <row r="7" ht="12.75">
      <c r="B7" s="5" t="s">
        <v>30</v>
      </c>
    </row>
    <row r="8" spans="1:8" ht="15">
      <c r="A8" s="38" t="s">
        <v>79</v>
      </c>
      <c r="B8" s="38"/>
      <c r="C8" s="38"/>
      <c r="D8" s="38"/>
      <c r="E8" s="38"/>
      <c r="F8" s="38"/>
      <c r="G8" s="38"/>
      <c r="H8" s="38"/>
    </row>
    <row r="9" spans="1:11" ht="12.75">
      <c r="A9" s="35" t="s">
        <v>12</v>
      </c>
      <c r="B9" s="36" t="s">
        <v>336</v>
      </c>
      <c r="C9" s="36" t="s">
        <v>337</v>
      </c>
      <c r="D9" s="36" t="s">
        <v>95</v>
      </c>
      <c r="E9" s="36" t="s">
        <v>338</v>
      </c>
      <c r="F9" s="36" t="s">
        <v>39</v>
      </c>
      <c r="G9" s="35" t="s">
        <v>16</v>
      </c>
      <c r="H9" s="37">
        <v>48</v>
      </c>
      <c r="I9" s="35" t="str">
        <f>"2160,0"</f>
        <v>2160,0</v>
      </c>
      <c r="J9" s="35" t="s">
        <v>339</v>
      </c>
      <c r="K9" s="36" t="s">
        <v>28</v>
      </c>
    </row>
    <row r="10" ht="12.75">
      <c r="B10" s="5" t="s">
        <v>30</v>
      </c>
    </row>
    <row r="11" spans="1:8" ht="15">
      <c r="A11" s="38" t="s">
        <v>83</v>
      </c>
      <c r="B11" s="38"/>
      <c r="C11" s="38"/>
      <c r="D11" s="38"/>
      <c r="E11" s="38"/>
      <c r="F11" s="38"/>
      <c r="G11" s="38"/>
      <c r="H11" s="38"/>
    </row>
    <row r="12" spans="1:11" ht="12.75">
      <c r="A12" s="8" t="s">
        <v>12</v>
      </c>
      <c r="B12" s="7" t="s">
        <v>226</v>
      </c>
      <c r="C12" s="7" t="s">
        <v>340</v>
      </c>
      <c r="D12" s="7" t="s">
        <v>228</v>
      </c>
      <c r="E12" s="7" t="str">
        <f>"0,6232"</f>
        <v>0,6232</v>
      </c>
      <c r="F12" s="7" t="s">
        <v>229</v>
      </c>
      <c r="G12" s="8" t="s">
        <v>36</v>
      </c>
      <c r="H12" s="28">
        <v>63</v>
      </c>
      <c r="I12" s="8" t="str">
        <f>"3150,0"</f>
        <v>3150,0</v>
      </c>
      <c r="J12" s="8" t="str">
        <f>"3135,0388"</f>
        <v>3135,0388</v>
      </c>
      <c r="K12" s="7" t="s">
        <v>28</v>
      </c>
    </row>
    <row r="13" ht="12.75">
      <c r="B13" s="5" t="s">
        <v>30</v>
      </c>
    </row>
  </sheetData>
  <sheetProtection/>
  <mergeCells count="14">
    <mergeCell ref="K3:K4"/>
    <mergeCell ref="A8:H8"/>
    <mergeCell ref="A1:K2"/>
    <mergeCell ref="A3:A4"/>
    <mergeCell ref="C3:C4"/>
    <mergeCell ref="D3:D4"/>
    <mergeCell ref="E3:E4"/>
    <mergeCell ref="F3:F4"/>
    <mergeCell ref="A5:H5"/>
    <mergeCell ref="A11:H11"/>
    <mergeCell ref="B3:B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7.375" style="5" bestFit="1" customWidth="1"/>
    <col min="2" max="2" width="16.25390625" style="5" bestFit="1" customWidth="1"/>
    <col min="3" max="3" width="26.25390625" style="5" bestFit="1" customWidth="1"/>
    <col min="4" max="4" width="21.375" style="5" bestFit="1" customWidth="1"/>
    <col min="5" max="5" width="10.375" style="5" bestFit="1" customWidth="1"/>
    <col min="6" max="6" width="23.75390625" style="5" bestFit="1" customWidth="1"/>
    <col min="7" max="7" width="8.875" style="6" customWidth="1"/>
    <col min="8" max="8" width="10.375" style="29" customWidth="1"/>
    <col min="9" max="9" width="7.875" style="6" bestFit="1" customWidth="1"/>
    <col min="10" max="10" width="9.375" style="6" bestFit="1" customWidth="1"/>
    <col min="11" max="11" width="21.00390625" style="5" customWidth="1"/>
    <col min="12" max="16384" width="9.125" style="3" customWidth="1"/>
  </cols>
  <sheetData>
    <row r="1" spans="1:11" s="2" customFormat="1" ht="28.5" customHeight="1">
      <c r="A1" s="48" t="s">
        <v>190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134</v>
      </c>
      <c r="F3" s="43" t="s">
        <v>5</v>
      </c>
      <c r="G3" s="43" t="s">
        <v>139</v>
      </c>
      <c r="H3" s="43"/>
      <c r="I3" s="43" t="s">
        <v>140</v>
      </c>
      <c r="J3" s="43" t="s">
        <v>8</v>
      </c>
      <c r="K3" s="45" t="s">
        <v>9</v>
      </c>
    </row>
    <row r="4" spans="1:11" s="1" customFormat="1" ht="21" customHeight="1" thickBot="1">
      <c r="A4" s="57"/>
      <c r="B4" s="40"/>
      <c r="C4" s="44"/>
      <c r="D4" s="44"/>
      <c r="E4" s="44"/>
      <c r="F4" s="44"/>
      <c r="G4" s="4" t="s">
        <v>141</v>
      </c>
      <c r="H4" s="27" t="s">
        <v>142</v>
      </c>
      <c r="I4" s="44"/>
      <c r="J4" s="44"/>
      <c r="K4" s="46"/>
    </row>
    <row r="5" spans="1:8" ht="15">
      <c r="A5" s="47" t="s">
        <v>74</v>
      </c>
      <c r="B5" s="47"/>
      <c r="C5" s="47"/>
      <c r="D5" s="47"/>
      <c r="E5" s="47"/>
      <c r="F5" s="47"/>
      <c r="G5" s="47"/>
      <c r="H5" s="47"/>
    </row>
    <row r="6" spans="1:11" ht="12.75">
      <c r="A6" s="8" t="s">
        <v>12</v>
      </c>
      <c r="B6" s="7" t="s">
        <v>191</v>
      </c>
      <c r="C6" s="7" t="s">
        <v>192</v>
      </c>
      <c r="D6" s="7" t="s">
        <v>193</v>
      </c>
      <c r="E6" s="7" t="str">
        <f>"0,6712"</f>
        <v>0,6712</v>
      </c>
      <c r="F6" s="7" t="s">
        <v>194</v>
      </c>
      <c r="G6" s="8" t="s">
        <v>50</v>
      </c>
      <c r="H6" s="28">
        <v>45</v>
      </c>
      <c r="I6" s="8" t="str">
        <f>"1800,0"</f>
        <v>1800,0</v>
      </c>
      <c r="J6" s="8" t="str">
        <f>"1904,0601"</f>
        <v>1904,0601</v>
      </c>
      <c r="K6" s="7" t="s">
        <v>28</v>
      </c>
    </row>
    <row r="7" ht="12.75">
      <c r="B7" s="5" t="s">
        <v>30</v>
      </c>
    </row>
    <row r="8" spans="1:8" ht="15">
      <c r="A8" s="38" t="s">
        <v>79</v>
      </c>
      <c r="B8" s="38"/>
      <c r="C8" s="38"/>
      <c r="D8" s="38"/>
      <c r="E8" s="38"/>
      <c r="F8" s="38"/>
      <c r="G8" s="38"/>
      <c r="H8" s="38"/>
    </row>
    <row r="9" spans="1:11" ht="12.75">
      <c r="A9" s="8" t="s">
        <v>12</v>
      </c>
      <c r="B9" s="7" t="s">
        <v>195</v>
      </c>
      <c r="C9" s="7" t="s">
        <v>196</v>
      </c>
      <c r="D9" s="7" t="s">
        <v>197</v>
      </c>
      <c r="E9" s="7" t="str">
        <f>"0,6326"</f>
        <v>0,6326</v>
      </c>
      <c r="F9" s="7" t="s">
        <v>198</v>
      </c>
      <c r="G9" s="8" t="s">
        <v>15</v>
      </c>
      <c r="H9" s="28">
        <v>85</v>
      </c>
      <c r="I9" s="8" t="str">
        <f>"3612,5"</f>
        <v>3612,5</v>
      </c>
      <c r="J9" s="8" t="str">
        <f>"3382,1960"</f>
        <v>3382,1960</v>
      </c>
      <c r="K9" s="7" t="s">
        <v>199</v>
      </c>
    </row>
    <row r="10" ht="12.75">
      <c r="B10" s="5" t="s">
        <v>30</v>
      </c>
    </row>
  </sheetData>
  <sheetProtection/>
  <mergeCells count="13">
    <mergeCell ref="K3:K4"/>
    <mergeCell ref="A5:H5"/>
    <mergeCell ref="A1:K2"/>
    <mergeCell ref="A3:A4"/>
    <mergeCell ref="C3:C4"/>
    <mergeCell ref="D3:D4"/>
    <mergeCell ref="E3:E4"/>
    <mergeCell ref="F3:F4"/>
    <mergeCell ref="A8:H8"/>
    <mergeCell ref="B3:B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7.375" style="5" bestFit="1" customWidth="1"/>
    <col min="2" max="2" width="19.25390625" style="5" customWidth="1"/>
    <col min="3" max="3" width="29.00390625" style="5" bestFit="1" customWidth="1"/>
    <col min="4" max="4" width="21.375" style="5" bestFit="1" customWidth="1"/>
    <col min="5" max="5" width="10.375" style="5" bestFit="1" customWidth="1"/>
    <col min="6" max="6" width="23.125" style="5" bestFit="1" customWidth="1"/>
    <col min="7" max="7" width="10.75390625" style="6" customWidth="1"/>
    <col min="8" max="8" width="10.375" style="29" customWidth="1"/>
    <col min="9" max="9" width="7.875" style="6" bestFit="1" customWidth="1"/>
    <col min="10" max="10" width="9.375" style="6" bestFit="1" customWidth="1"/>
    <col min="11" max="11" width="19.75390625" style="5" customWidth="1"/>
    <col min="12" max="16384" width="9.125" style="3" customWidth="1"/>
  </cols>
  <sheetData>
    <row r="1" spans="1:11" s="2" customFormat="1" ht="28.5" customHeight="1">
      <c r="A1" s="48" t="s">
        <v>200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134</v>
      </c>
      <c r="F3" s="43" t="s">
        <v>5</v>
      </c>
      <c r="G3" s="43" t="s">
        <v>139</v>
      </c>
      <c r="H3" s="43"/>
      <c r="I3" s="43" t="s">
        <v>140</v>
      </c>
      <c r="J3" s="43" t="s">
        <v>8</v>
      </c>
      <c r="K3" s="45" t="s">
        <v>9</v>
      </c>
    </row>
    <row r="4" spans="1:11" s="1" customFormat="1" ht="21" customHeight="1" thickBot="1">
      <c r="A4" s="57"/>
      <c r="B4" s="40"/>
      <c r="C4" s="44"/>
      <c r="D4" s="44"/>
      <c r="E4" s="44"/>
      <c r="F4" s="44"/>
      <c r="G4" s="4" t="s">
        <v>141</v>
      </c>
      <c r="H4" s="27" t="s">
        <v>142</v>
      </c>
      <c r="I4" s="44"/>
      <c r="J4" s="44"/>
      <c r="K4" s="46"/>
    </row>
    <row r="5" spans="1:8" ht="15">
      <c r="A5" s="47" t="s">
        <v>31</v>
      </c>
      <c r="B5" s="47"/>
      <c r="C5" s="47"/>
      <c r="D5" s="47"/>
      <c r="E5" s="47"/>
      <c r="F5" s="47"/>
      <c r="G5" s="47"/>
      <c r="H5" s="47"/>
    </row>
    <row r="6" spans="1:11" ht="12.75">
      <c r="A6" s="8" t="s">
        <v>12</v>
      </c>
      <c r="B6" s="7" t="s">
        <v>201</v>
      </c>
      <c r="C6" s="7" t="s">
        <v>202</v>
      </c>
      <c r="D6" s="7" t="s">
        <v>203</v>
      </c>
      <c r="E6" s="7" t="str">
        <f>"1,2235"</f>
        <v>1,2235</v>
      </c>
      <c r="F6" s="7" t="s">
        <v>162</v>
      </c>
      <c r="G6" s="8" t="s">
        <v>204</v>
      </c>
      <c r="H6" s="28">
        <v>70</v>
      </c>
      <c r="I6" s="8" t="str">
        <f>"1750,0"</f>
        <v>1750,0</v>
      </c>
      <c r="J6" s="8" t="str">
        <f>"2141,1250"</f>
        <v>2141,1250</v>
      </c>
      <c r="K6" s="7" t="s">
        <v>163</v>
      </c>
    </row>
    <row r="7" ht="12.75">
      <c r="B7" s="5" t="s">
        <v>30</v>
      </c>
    </row>
    <row r="8" spans="1:8" ht="15">
      <c r="A8" s="38" t="s">
        <v>74</v>
      </c>
      <c r="B8" s="38"/>
      <c r="C8" s="38"/>
      <c r="D8" s="38"/>
      <c r="E8" s="38"/>
      <c r="F8" s="38"/>
      <c r="G8" s="38"/>
      <c r="H8" s="38"/>
    </row>
    <row r="9" spans="1:11" ht="12.75">
      <c r="A9" s="8" t="s">
        <v>12</v>
      </c>
      <c r="B9" s="7" t="s">
        <v>205</v>
      </c>
      <c r="C9" s="7" t="s">
        <v>206</v>
      </c>
      <c r="D9" s="7" t="s">
        <v>207</v>
      </c>
      <c r="E9" s="7" t="str">
        <f>"0,8109"</f>
        <v>0,8109</v>
      </c>
      <c r="F9" s="7" t="s">
        <v>162</v>
      </c>
      <c r="G9" s="8" t="s">
        <v>50</v>
      </c>
      <c r="H9" s="28">
        <v>60</v>
      </c>
      <c r="I9" s="8" t="str">
        <f>"2400,0"</f>
        <v>2400,0</v>
      </c>
      <c r="J9" s="8" t="str">
        <f>"1946,0401"</f>
        <v>1946,0401</v>
      </c>
      <c r="K9" s="7" t="s">
        <v>163</v>
      </c>
    </row>
    <row r="10" ht="12.75">
      <c r="B10" s="5" t="s">
        <v>30</v>
      </c>
    </row>
    <row r="11" spans="1:8" ht="15">
      <c r="A11" s="38" t="s">
        <v>42</v>
      </c>
      <c r="B11" s="38"/>
      <c r="C11" s="38"/>
      <c r="D11" s="38"/>
      <c r="E11" s="38"/>
      <c r="F11" s="38"/>
      <c r="G11" s="38"/>
      <c r="H11" s="38"/>
    </row>
    <row r="12" spans="1:11" ht="12.75">
      <c r="A12" s="8" t="s">
        <v>12</v>
      </c>
      <c r="B12" s="7" t="s">
        <v>208</v>
      </c>
      <c r="C12" s="7" t="s">
        <v>209</v>
      </c>
      <c r="D12" s="7" t="s">
        <v>210</v>
      </c>
      <c r="E12" s="7" t="str">
        <f>"1,0459"</f>
        <v>1,0459</v>
      </c>
      <c r="F12" s="7" t="s">
        <v>162</v>
      </c>
      <c r="G12" s="8" t="s">
        <v>204</v>
      </c>
      <c r="H12" s="28">
        <v>70</v>
      </c>
      <c r="I12" s="8" t="str">
        <f>"1750,0"</f>
        <v>1750,0</v>
      </c>
      <c r="J12" s="8" t="str">
        <f>"1830,3250"</f>
        <v>1830,3250</v>
      </c>
      <c r="K12" s="7" t="s">
        <v>163</v>
      </c>
    </row>
    <row r="13" ht="12.75">
      <c r="B13" s="5" t="s">
        <v>30</v>
      </c>
    </row>
    <row r="14" spans="1:8" ht="15">
      <c r="A14" s="38" t="s">
        <v>55</v>
      </c>
      <c r="B14" s="38"/>
      <c r="C14" s="38"/>
      <c r="D14" s="38"/>
      <c r="E14" s="38"/>
      <c r="F14" s="38"/>
      <c r="G14" s="38"/>
      <c r="H14" s="38"/>
    </row>
    <row r="15" spans="1:11" ht="12.75">
      <c r="A15" s="8" t="s">
        <v>12</v>
      </c>
      <c r="B15" s="7" t="s">
        <v>211</v>
      </c>
      <c r="C15" s="7" t="s">
        <v>212</v>
      </c>
      <c r="D15" s="7" t="s">
        <v>213</v>
      </c>
      <c r="E15" s="7" t="str">
        <f>"0,8553"</f>
        <v>0,8553</v>
      </c>
      <c r="F15" s="7" t="s">
        <v>162</v>
      </c>
      <c r="G15" s="8" t="s">
        <v>96</v>
      </c>
      <c r="H15" s="28">
        <v>126</v>
      </c>
      <c r="I15" s="8" t="str">
        <f>"3780,0"</f>
        <v>3780,0</v>
      </c>
      <c r="J15" s="8" t="str">
        <f>"3233,0340"</f>
        <v>3233,0340</v>
      </c>
      <c r="K15" s="7" t="s">
        <v>163</v>
      </c>
    </row>
    <row r="16" ht="12.75">
      <c r="B16" s="5" t="s">
        <v>30</v>
      </c>
    </row>
    <row r="17" spans="1:8" ht="15">
      <c r="A17" s="38" t="s">
        <v>59</v>
      </c>
      <c r="B17" s="38"/>
      <c r="C17" s="38"/>
      <c r="D17" s="38"/>
      <c r="E17" s="38"/>
      <c r="F17" s="38"/>
      <c r="G17" s="38"/>
      <c r="H17" s="38"/>
    </row>
    <row r="18" spans="1:11" ht="12.75">
      <c r="A18" s="8" t="s">
        <v>12</v>
      </c>
      <c r="B18" s="7" t="s">
        <v>214</v>
      </c>
      <c r="C18" s="7" t="s">
        <v>215</v>
      </c>
      <c r="D18" s="7" t="s">
        <v>216</v>
      </c>
      <c r="E18" s="7" t="str">
        <f>"0,7919"</f>
        <v>0,7919</v>
      </c>
      <c r="F18" s="7" t="s">
        <v>162</v>
      </c>
      <c r="G18" s="8" t="s">
        <v>217</v>
      </c>
      <c r="H18" s="28">
        <v>104</v>
      </c>
      <c r="I18" s="8" t="str">
        <f>"3380,0"</f>
        <v>3380,0</v>
      </c>
      <c r="J18" s="8" t="str">
        <f>"2676,7910"</f>
        <v>2676,7910</v>
      </c>
      <c r="K18" s="7" t="s">
        <v>163</v>
      </c>
    </row>
    <row r="19" ht="12.75">
      <c r="B19" s="5" t="s">
        <v>30</v>
      </c>
    </row>
    <row r="20" spans="1:8" ht="15">
      <c r="A20" s="38" t="s">
        <v>64</v>
      </c>
      <c r="B20" s="38"/>
      <c r="C20" s="38"/>
      <c r="D20" s="38"/>
      <c r="E20" s="38"/>
      <c r="F20" s="38"/>
      <c r="G20" s="38"/>
      <c r="H20" s="38"/>
    </row>
    <row r="21" spans="1:11" ht="12.75">
      <c r="A21" s="8" t="s">
        <v>12</v>
      </c>
      <c r="B21" s="7" t="s">
        <v>218</v>
      </c>
      <c r="C21" s="7" t="s">
        <v>219</v>
      </c>
      <c r="D21" s="7" t="s">
        <v>220</v>
      </c>
      <c r="E21" s="7" t="str">
        <f>"0,7027"</f>
        <v>0,7027</v>
      </c>
      <c r="F21" s="7" t="s">
        <v>221</v>
      </c>
      <c r="G21" s="8" t="s">
        <v>54</v>
      </c>
      <c r="H21" s="28">
        <v>87</v>
      </c>
      <c r="I21" s="8" t="str">
        <f>"3262,5"</f>
        <v>3262,5</v>
      </c>
      <c r="J21" s="8" t="str">
        <f>"3193,3072"</f>
        <v>3193,3072</v>
      </c>
      <c r="K21" s="7" t="s">
        <v>28</v>
      </c>
    </row>
    <row r="22" ht="12.75">
      <c r="B22" s="5" t="s">
        <v>30</v>
      </c>
    </row>
    <row r="23" spans="1:8" ht="15">
      <c r="A23" s="38" t="s">
        <v>74</v>
      </c>
      <c r="B23" s="38"/>
      <c r="C23" s="38"/>
      <c r="D23" s="38"/>
      <c r="E23" s="38"/>
      <c r="F23" s="38"/>
      <c r="G23" s="38"/>
      <c r="H23" s="38"/>
    </row>
    <row r="24" spans="1:11" ht="12.75">
      <c r="A24" s="8" t="s">
        <v>12</v>
      </c>
      <c r="B24" s="7" t="s">
        <v>222</v>
      </c>
      <c r="C24" s="7" t="s">
        <v>223</v>
      </c>
      <c r="D24" s="7" t="s">
        <v>76</v>
      </c>
      <c r="E24" s="7" t="str">
        <f>"0,6641"</f>
        <v>0,6641</v>
      </c>
      <c r="F24" s="7" t="s">
        <v>65</v>
      </c>
      <c r="G24" s="8" t="s">
        <v>50</v>
      </c>
      <c r="H24" s="28">
        <v>141</v>
      </c>
      <c r="I24" s="8" t="str">
        <f>"5640,0"</f>
        <v>5640,0</v>
      </c>
      <c r="J24" s="8" t="str">
        <f>"5779,3435"</f>
        <v>5779,3435</v>
      </c>
      <c r="K24" s="7" t="s">
        <v>137</v>
      </c>
    </row>
    <row r="25" ht="12.75">
      <c r="B25" s="5" t="s">
        <v>30</v>
      </c>
    </row>
    <row r="26" spans="1:8" ht="15">
      <c r="A26" s="38" t="s">
        <v>83</v>
      </c>
      <c r="B26" s="38"/>
      <c r="C26" s="38"/>
      <c r="D26" s="38"/>
      <c r="E26" s="38"/>
      <c r="F26" s="38"/>
      <c r="G26" s="38"/>
      <c r="H26" s="38"/>
    </row>
    <row r="27" spans="1:11" ht="12.75">
      <c r="A27" s="12" t="s">
        <v>12</v>
      </c>
      <c r="B27" s="11" t="s">
        <v>224</v>
      </c>
      <c r="C27" s="11" t="s">
        <v>225</v>
      </c>
      <c r="D27" s="11" t="s">
        <v>86</v>
      </c>
      <c r="E27" s="11" t="str">
        <f>"0,5825"</f>
        <v>0,5825</v>
      </c>
      <c r="F27" s="11" t="s">
        <v>162</v>
      </c>
      <c r="G27" s="12" t="s">
        <v>36</v>
      </c>
      <c r="H27" s="30">
        <v>51</v>
      </c>
      <c r="I27" s="12" t="str">
        <f>"2550,0"</f>
        <v>2550,0</v>
      </c>
      <c r="J27" s="12" t="str">
        <f>"1485,5025"</f>
        <v>1485,5025</v>
      </c>
      <c r="K27" s="11" t="s">
        <v>163</v>
      </c>
    </row>
    <row r="28" spans="1:11" ht="12.75">
      <c r="A28" s="16" t="s">
        <v>12</v>
      </c>
      <c r="B28" s="15" t="s">
        <v>226</v>
      </c>
      <c r="C28" s="15" t="s">
        <v>227</v>
      </c>
      <c r="D28" s="15" t="s">
        <v>228</v>
      </c>
      <c r="E28" s="15" t="str">
        <f>"0,5961"</f>
        <v>0,5961</v>
      </c>
      <c r="F28" s="15" t="s">
        <v>229</v>
      </c>
      <c r="G28" s="16" t="s">
        <v>40</v>
      </c>
      <c r="H28" s="32">
        <v>75</v>
      </c>
      <c r="I28" s="16" t="str">
        <f>"3562,5"</f>
        <v>3562,5</v>
      </c>
      <c r="J28" s="16" t="str">
        <f>"3276,9992"</f>
        <v>3276,9992</v>
      </c>
      <c r="K28" s="15" t="s">
        <v>28</v>
      </c>
    </row>
    <row r="29" spans="1:11" ht="12.75">
      <c r="A29" s="14" t="s">
        <v>29</v>
      </c>
      <c r="B29" s="13" t="s">
        <v>129</v>
      </c>
      <c r="C29" s="13" t="s">
        <v>230</v>
      </c>
      <c r="D29" s="13" t="s">
        <v>130</v>
      </c>
      <c r="E29" s="13" t="str">
        <f>"0,5955"</f>
        <v>0,5955</v>
      </c>
      <c r="F29" s="13" t="s">
        <v>47</v>
      </c>
      <c r="G29" s="14" t="s">
        <v>40</v>
      </c>
      <c r="H29" s="31">
        <v>48</v>
      </c>
      <c r="I29" s="14" t="str">
        <f>"2280,0"</f>
        <v>2280,0</v>
      </c>
      <c r="J29" s="14" t="str">
        <f>"2094,9928"</f>
        <v>2094,9928</v>
      </c>
      <c r="K29" s="13" t="s">
        <v>28</v>
      </c>
    </row>
    <row r="30" ht="12.75">
      <c r="B30" s="5" t="s">
        <v>30</v>
      </c>
    </row>
  </sheetData>
  <sheetProtection/>
  <mergeCells count="19"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  <mergeCell ref="A26:H26"/>
    <mergeCell ref="B3:B4"/>
    <mergeCell ref="A8:H8"/>
    <mergeCell ref="A11:H11"/>
    <mergeCell ref="A14:H14"/>
    <mergeCell ref="A17:H17"/>
    <mergeCell ref="A20:H20"/>
    <mergeCell ref="A23:H23"/>
    <mergeCell ref="G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2"/>
    </sheetView>
  </sheetViews>
  <sheetFormatPr defaultColWidth="9.125" defaultRowHeight="12.75"/>
  <cols>
    <col min="1" max="1" width="7.375" style="5" bestFit="1" customWidth="1"/>
    <col min="2" max="2" width="17.875" style="5" bestFit="1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17.375" style="5" bestFit="1" customWidth="1"/>
    <col min="7" max="9" width="5.375" style="6" customWidth="1"/>
    <col min="10" max="10" width="4.875" style="6" customWidth="1"/>
    <col min="11" max="11" width="11.375" style="6" customWidth="1"/>
    <col min="12" max="12" width="13.375" style="29" customWidth="1"/>
    <col min="13" max="13" width="7.875" style="6" bestFit="1" customWidth="1"/>
    <col min="14" max="14" width="9.375" style="6" bestFit="1" customWidth="1"/>
    <col min="15" max="15" width="19.375" style="5" customWidth="1"/>
    <col min="16" max="16384" width="9.125" style="3" customWidth="1"/>
  </cols>
  <sheetData>
    <row r="1" spans="1:15" s="2" customFormat="1" ht="28.5" customHeight="1">
      <c r="A1" s="48" t="s">
        <v>242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243</v>
      </c>
      <c r="F3" s="43" t="s">
        <v>5</v>
      </c>
      <c r="G3" s="43" t="s">
        <v>6</v>
      </c>
      <c r="H3" s="43"/>
      <c r="I3" s="43"/>
      <c r="J3" s="43"/>
      <c r="K3" s="43" t="s">
        <v>244</v>
      </c>
      <c r="L3" s="43"/>
      <c r="M3" s="43" t="s">
        <v>7</v>
      </c>
      <c r="N3" s="43" t="s">
        <v>8</v>
      </c>
      <c r="O3" s="45" t="s">
        <v>9</v>
      </c>
    </row>
    <row r="4" spans="1:15" s="1" customFormat="1" ht="21" customHeight="1" thickBot="1">
      <c r="A4" s="57"/>
      <c r="B4" s="40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10</v>
      </c>
      <c r="K4" s="4" t="s">
        <v>141</v>
      </c>
      <c r="L4" s="27" t="s">
        <v>142</v>
      </c>
      <c r="M4" s="44"/>
      <c r="N4" s="44"/>
      <c r="O4" s="46"/>
    </row>
    <row r="5" spans="1:12" ht="15">
      <c r="A5" s="47" t="s">
        <v>245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 ht="12.75">
      <c r="A6" s="8" t="s">
        <v>12</v>
      </c>
      <c r="B6" s="7" t="s">
        <v>20</v>
      </c>
      <c r="C6" s="7" t="s">
        <v>21</v>
      </c>
      <c r="D6" s="7" t="s">
        <v>22</v>
      </c>
      <c r="E6" s="7" t="str">
        <f>"1,4702"</f>
        <v>1,4702</v>
      </c>
      <c r="F6" s="7" t="s">
        <v>23</v>
      </c>
      <c r="G6" s="10" t="s">
        <v>25</v>
      </c>
      <c r="H6" s="9" t="s">
        <v>25</v>
      </c>
      <c r="I6" s="9" t="s">
        <v>26</v>
      </c>
      <c r="J6" s="8"/>
      <c r="K6" s="8" t="s">
        <v>36</v>
      </c>
      <c r="L6" s="28">
        <v>11</v>
      </c>
      <c r="M6" s="8" t="str">
        <f>"76,0"</f>
        <v>76,0</v>
      </c>
      <c r="N6" s="8" t="str">
        <f>"5586,7598"</f>
        <v>5586,7598</v>
      </c>
      <c r="O6" s="7" t="s">
        <v>28</v>
      </c>
    </row>
    <row r="7" ht="12.75">
      <c r="B7" s="5" t="s">
        <v>30</v>
      </c>
    </row>
    <row r="8" spans="1:12" ht="15">
      <c r="A8" s="38" t="s">
        <v>246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5" ht="12.75">
      <c r="A9" s="8" t="s">
        <v>12</v>
      </c>
      <c r="B9" s="7" t="s">
        <v>247</v>
      </c>
      <c r="C9" s="7" t="s">
        <v>248</v>
      </c>
      <c r="D9" s="7" t="s">
        <v>249</v>
      </c>
      <c r="E9" s="7" t="str">
        <f>"0,7544"</f>
        <v>0,7544</v>
      </c>
      <c r="F9" s="7" t="s">
        <v>250</v>
      </c>
      <c r="G9" s="10" t="s">
        <v>58</v>
      </c>
      <c r="H9" s="10" t="s">
        <v>58</v>
      </c>
      <c r="I9" s="10" t="s">
        <v>58</v>
      </c>
      <c r="J9" s="8"/>
      <c r="K9" s="8" t="s">
        <v>24</v>
      </c>
      <c r="L9" s="28">
        <v>35</v>
      </c>
      <c r="M9" s="8" t="str">
        <f>"35,0"</f>
        <v>35,0</v>
      </c>
      <c r="N9" s="8" t="str">
        <f>"1940,6940"</f>
        <v>1940,6940</v>
      </c>
      <c r="O9" s="7" t="s">
        <v>28</v>
      </c>
    </row>
    <row r="10" ht="12.75">
      <c r="B10" s="5" t="s">
        <v>30</v>
      </c>
    </row>
    <row r="11" spans="1:12" ht="15">
      <c r="A11" s="38" t="s">
        <v>240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5" ht="12.75">
      <c r="A12" s="12" t="s">
        <v>12</v>
      </c>
      <c r="B12" s="11" t="s">
        <v>251</v>
      </c>
      <c r="C12" s="11" t="s">
        <v>252</v>
      </c>
      <c r="D12" s="11" t="s">
        <v>253</v>
      </c>
      <c r="E12" s="11" t="str">
        <f>"0,6945"</f>
        <v>0,6945</v>
      </c>
      <c r="F12" s="11" t="s">
        <v>80</v>
      </c>
      <c r="G12" s="17" t="s">
        <v>34</v>
      </c>
      <c r="H12" s="18" t="s">
        <v>58</v>
      </c>
      <c r="I12" s="18" t="s">
        <v>58</v>
      </c>
      <c r="J12" s="12"/>
      <c r="K12" s="12" t="s">
        <v>14</v>
      </c>
      <c r="L12" s="30">
        <v>23</v>
      </c>
      <c r="M12" s="12" t="str">
        <f>"148,0"</f>
        <v>148,0</v>
      </c>
      <c r="N12" s="12" t="str">
        <f>"5746,2932"</f>
        <v>5746,2932</v>
      </c>
      <c r="O12" s="11" t="s">
        <v>254</v>
      </c>
    </row>
    <row r="13" spans="1:15" ht="12.75">
      <c r="A13" s="14" t="s">
        <v>29</v>
      </c>
      <c r="B13" s="13" t="s">
        <v>255</v>
      </c>
      <c r="C13" s="13" t="s">
        <v>256</v>
      </c>
      <c r="D13" s="13" t="s">
        <v>193</v>
      </c>
      <c r="E13" s="13" t="str">
        <f>"0,6957"</f>
        <v>0,6957</v>
      </c>
      <c r="F13" s="13" t="s">
        <v>257</v>
      </c>
      <c r="G13" s="20" t="s">
        <v>41</v>
      </c>
      <c r="H13" s="19" t="s">
        <v>41</v>
      </c>
      <c r="I13" s="20" t="s">
        <v>49</v>
      </c>
      <c r="J13" s="14"/>
      <c r="K13" s="14" t="s">
        <v>14</v>
      </c>
      <c r="L13" s="31">
        <v>15</v>
      </c>
      <c r="M13" s="14" t="str">
        <f>"120,0"</f>
        <v>120,0</v>
      </c>
      <c r="N13" s="14" t="str">
        <f>"4570,7489"</f>
        <v>4570,7489</v>
      </c>
      <c r="O13" s="13" t="s">
        <v>258</v>
      </c>
    </row>
    <row r="14" ht="12.75">
      <c r="B14" s="5" t="s">
        <v>30</v>
      </c>
    </row>
    <row r="15" spans="1:12" ht="15">
      <c r="A15" s="38" t="s">
        <v>89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5" ht="12.75">
      <c r="A16" s="8" t="s">
        <v>12</v>
      </c>
      <c r="B16" s="7" t="s">
        <v>259</v>
      </c>
      <c r="C16" s="7" t="s">
        <v>260</v>
      </c>
      <c r="D16" s="7" t="s">
        <v>238</v>
      </c>
      <c r="E16" s="7" t="str">
        <f>"0,5946"</f>
        <v>0,5946</v>
      </c>
      <c r="F16" s="7" t="s">
        <v>39</v>
      </c>
      <c r="G16" s="9" t="s">
        <v>73</v>
      </c>
      <c r="H16" s="9" t="s">
        <v>82</v>
      </c>
      <c r="I16" s="9" t="s">
        <v>68</v>
      </c>
      <c r="J16" s="8"/>
      <c r="K16" s="8" t="s">
        <v>48</v>
      </c>
      <c r="L16" s="28">
        <v>14</v>
      </c>
      <c r="M16" s="8" t="str">
        <f>"171,5"</f>
        <v>171,5</v>
      </c>
      <c r="N16" s="8" t="str">
        <f>"5827,0802"</f>
        <v>5827,0802</v>
      </c>
      <c r="O16" s="7" t="s">
        <v>28</v>
      </c>
    </row>
    <row r="17" ht="12.75">
      <c r="B17" s="5" t="s">
        <v>30</v>
      </c>
    </row>
    <row r="18" spans="1:12" ht="15">
      <c r="A18" s="38" t="s">
        <v>261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5" ht="12.75">
      <c r="A19" s="8" t="s">
        <v>12</v>
      </c>
      <c r="B19" s="7" t="s">
        <v>123</v>
      </c>
      <c r="C19" s="7" t="s">
        <v>124</v>
      </c>
      <c r="D19" s="7" t="s">
        <v>125</v>
      </c>
      <c r="E19" s="7" t="str">
        <f>"0,5634"</f>
        <v>0,5634</v>
      </c>
      <c r="F19" s="7" t="s">
        <v>39</v>
      </c>
      <c r="G19" s="9" t="s">
        <v>84</v>
      </c>
      <c r="H19" s="8"/>
      <c r="I19" s="8"/>
      <c r="J19" s="8"/>
      <c r="K19" s="8" t="s">
        <v>61</v>
      </c>
      <c r="L19" s="28">
        <v>9</v>
      </c>
      <c r="M19" s="8" t="str">
        <f>"189,0"</f>
        <v>189,0</v>
      </c>
      <c r="N19" s="8" t="str">
        <f>"6064,4373"</f>
        <v>6064,4373</v>
      </c>
      <c r="O19" s="7" t="s">
        <v>28</v>
      </c>
    </row>
    <row r="20" ht="12.75">
      <c r="B20" s="5" t="s">
        <v>30</v>
      </c>
    </row>
  </sheetData>
  <sheetProtection/>
  <mergeCells count="17">
    <mergeCell ref="M3:M4"/>
    <mergeCell ref="N3:N4"/>
    <mergeCell ref="O3:O4"/>
    <mergeCell ref="A5:L5"/>
    <mergeCell ref="A1:O2"/>
    <mergeCell ref="A3:A4"/>
    <mergeCell ref="C3:C4"/>
    <mergeCell ref="D3:D4"/>
    <mergeCell ref="E3:E4"/>
    <mergeCell ref="F3:F4"/>
    <mergeCell ref="G3:J3"/>
    <mergeCell ref="A8:L8"/>
    <mergeCell ref="A11:L11"/>
    <mergeCell ref="A15:L15"/>
    <mergeCell ref="A18:L18"/>
    <mergeCell ref="B3:B4"/>
    <mergeCell ref="K3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O2"/>
    </sheetView>
  </sheetViews>
  <sheetFormatPr defaultColWidth="9.125" defaultRowHeight="12.75"/>
  <cols>
    <col min="1" max="1" width="7.375" style="5" bestFit="1" customWidth="1"/>
    <col min="2" max="2" width="18.75390625" style="5" bestFit="1" customWidth="1"/>
    <col min="3" max="3" width="28.375" style="5" bestFit="1" customWidth="1"/>
    <col min="4" max="4" width="21.375" style="5" bestFit="1" customWidth="1"/>
    <col min="5" max="5" width="15.125" style="5" bestFit="1" customWidth="1"/>
    <col min="6" max="6" width="17.375" style="5" bestFit="1" customWidth="1"/>
    <col min="7" max="9" width="5.375" style="6" customWidth="1"/>
    <col min="10" max="10" width="4.875" style="6" customWidth="1"/>
    <col min="11" max="11" width="10.75390625" style="6" customWidth="1"/>
    <col min="12" max="12" width="12.75390625" style="29" customWidth="1"/>
    <col min="13" max="13" width="7.875" style="6" bestFit="1" customWidth="1"/>
    <col min="14" max="14" width="9.375" style="6" bestFit="1" customWidth="1"/>
    <col min="15" max="15" width="18.375" style="5" customWidth="1"/>
    <col min="16" max="16384" width="9.125" style="3" customWidth="1"/>
  </cols>
  <sheetData>
    <row r="1" spans="1:15" s="2" customFormat="1" ht="28.5" customHeight="1">
      <c r="A1" s="48" t="s">
        <v>262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243</v>
      </c>
      <c r="F3" s="43" t="s">
        <v>5</v>
      </c>
      <c r="G3" s="43" t="s">
        <v>6</v>
      </c>
      <c r="H3" s="43"/>
      <c r="I3" s="43"/>
      <c r="J3" s="43"/>
      <c r="K3" s="43" t="s">
        <v>244</v>
      </c>
      <c r="L3" s="43"/>
      <c r="M3" s="43" t="s">
        <v>7</v>
      </c>
      <c r="N3" s="43" t="s">
        <v>8</v>
      </c>
      <c r="O3" s="45" t="s">
        <v>9</v>
      </c>
    </row>
    <row r="4" spans="1:15" s="1" customFormat="1" ht="21" customHeight="1" thickBot="1">
      <c r="A4" s="57"/>
      <c r="B4" s="40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10</v>
      </c>
      <c r="K4" s="4" t="s">
        <v>141</v>
      </c>
      <c r="L4" s="27" t="s">
        <v>142</v>
      </c>
      <c r="M4" s="44"/>
      <c r="N4" s="44"/>
      <c r="O4" s="46"/>
    </row>
    <row r="5" spans="1:12" ht="15">
      <c r="A5" s="47" t="s">
        <v>55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 ht="12.75">
      <c r="A6" s="12" t="s">
        <v>12</v>
      </c>
      <c r="B6" s="11" t="s">
        <v>101</v>
      </c>
      <c r="C6" s="11" t="s">
        <v>102</v>
      </c>
      <c r="D6" s="11" t="s">
        <v>100</v>
      </c>
      <c r="E6" s="11" t="str">
        <f>"1,1163"</f>
        <v>1,1163</v>
      </c>
      <c r="F6" s="11" t="s">
        <v>35</v>
      </c>
      <c r="G6" s="18" t="s">
        <v>44</v>
      </c>
      <c r="H6" s="17" t="s">
        <v>44</v>
      </c>
      <c r="I6" s="18" t="s">
        <v>24</v>
      </c>
      <c r="J6" s="12"/>
      <c r="K6" s="12" t="s">
        <v>96</v>
      </c>
      <c r="L6" s="30">
        <v>73</v>
      </c>
      <c r="M6" s="12" t="str">
        <f>"140,5"</f>
        <v>140,5</v>
      </c>
      <c r="N6" s="12" t="str">
        <f>"6212,2094"</f>
        <v>6212,2094</v>
      </c>
      <c r="O6" s="11" t="s">
        <v>28</v>
      </c>
    </row>
    <row r="7" spans="1:15" ht="12.75">
      <c r="A7" s="14" t="s">
        <v>12</v>
      </c>
      <c r="B7" s="13" t="s">
        <v>263</v>
      </c>
      <c r="C7" s="13" t="s">
        <v>264</v>
      </c>
      <c r="D7" s="13" t="s">
        <v>239</v>
      </c>
      <c r="E7" s="13" t="str">
        <f>"1,1149"</f>
        <v>1,1149</v>
      </c>
      <c r="F7" s="13" t="s">
        <v>80</v>
      </c>
      <c r="G7" s="19" t="s">
        <v>36</v>
      </c>
      <c r="H7" s="19" t="s">
        <v>37</v>
      </c>
      <c r="I7" s="14"/>
      <c r="J7" s="14"/>
      <c r="K7" s="14" t="s">
        <v>96</v>
      </c>
      <c r="L7" s="31">
        <v>34</v>
      </c>
      <c r="M7" s="14" t="str">
        <f>"86,5"</f>
        <v>86,5</v>
      </c>
      <c r="N7" s="14" t="str">
        <f>"4063,8105"</f>
        <v>4063,8105</v>
      </c>
      <c r="O7" s="13" t="s">
        <v>265</v>
      </c>
    </row>
    <row r="8" ht="12.75">
      <c r="B8" s="5" t="s">
        <v>30</v>
      </c>
    </row>
    <row r="9" spans="1:12" ht="15">
      <c r="A9" s="38" t="s">
        <v>79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5" ht="12.75">
      <c r="A10" s="8" t="s">
        <v>12</v>
      </c>
      <c r="B10" s="7" t="s">
        <v>266</v>
      </c>
      <c r="C10" s="7" t="s">
        <v>267</v>
      </c>
      <c r="D10" s="7" t="s">
        <v>268</v>
      </c>
      <c r="E10" s="7" t="str">
        <f>"0,6455"</f>
        <v>0,6455</v>
      </c>
      <c r="F10" s="7" t="s">
        <v>237</v>
      </c>
      <c r="G10" s="9" t="s">
        <v>33</v>
      </c>
      <c r="H10" s="9" t="s">
        <v>57</v>
      </c>
      <c r="I10" s="10" t="s">
        <v>58</v>
      </c>
      <c r="J10" s="8"/>
      <c r="K10" s="8" t="s">
        <v>16</v>
      </c>
      <c r="L10" s="28">
        <v>45</v>
      </c>
      <c r="M10" s="8" t="str">
        <f>"172,5"</f>
        <v>172,5</v>
      </c>
      <c r="N10" s="8" t="str">
        <f>"5618,2707"</f>
        <v>5618,2707</v>
      </c>
      <c r="O10" s="7" t="s">
        <v>28</v>
      </c>
    </row>
    <row r="11" ht="12.75">
      <c r="B11" s="5" t="s">
        <v>30</v>
      </c>
    </row>
    <row r="12" spans="1:12" ht="15">
      <c r="A12" s="38" t="s">
        <v>83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5" ht="12.75">
      <c r="A13" s="8" t="s">
        <v>12</v>
      </c>
      <c r="B13" s="7" t="s">
        <v>269</v>
      </c>
      <c r="C13" s="7" t="s">
        <v>270</v>
      </c>
      <c r="D13" s="7" t="s">
        <v>88</v>
      </c>
      <c r="E13" s="7" t="str">
        <f>"0,6197"</f>
        <v>0,6197</v>
      </c>
      <c r="F13" s="7" t="s">
        <v>237</v>
      </c>
      <c r="G13" s="9" t="s">
        <v>60</v>
      </c>
      <c r="H13" s="9" t="s">
        <v>61</v>
      </c>
      <c r="I13" s="10" t="s">
        <v>73</v>
      </c>
      <c r="J13" s="8"/>
      <c r="K13" s="8" t="s">
        <v>36</v>
      </c>
      <c r="L13" s="28">
        <v>54</v>
      </c>
      <c r="M13" s="8" t="str">
        <f>"194,0"</f>
        <v>194,0</v>
      </c>
      <c r="N13" s="8" t="str">
        <f>"6345,7281"</f>
        <v>6345,7281</v>
      </c>
      <c r="O13" s="7" t="s">
        <v>28</v>
      </c>
    </row>
    <row r="14" ht="12.75">
      <c r="B14" s="5" t="s">
        <v>30</v>
      </c>
    </row>
  </sheetData>
  <sheetProtection/>
  <mergeCells count="15">
    <mergeCell ref="N3:N4"/>
    <mergeCell ref="O3:O4"/>
    <mergeCell ref="A5:L5"/>
    <mergeCell ref="A1:O2"/>
    <mergeCell ref="A3:A4"/>
    <mergeCell ref="C3:C4"/>
    <mergeCell ref="D3:D4"/>
    <mergeCell ref="E3:E4"/>
    <mergeCell ref="F3:F4"/>
    <mergeCell ref="G3:J3"/>
    <mergeCell ref="A9:L9"/>
    <mergeCell ref="A12:L12"/>
    <mergeCell ref="B3:B4"/>
    <mergeCell ref="K3:L3"/>
    <mergeCell ref="M3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O2"/>
    </sheetView>
  </sheetViews>
  <sheetFormatPr defaultColWidth="9.125" defaultRowHeight="12.75"/>
  <cols>
    <col min="1" max="1" width="7.375" style="5" bestFit="1" customWidth="1"/>
    <col min="2" max="2" width="16.875" style="5" bestFit="1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17.375" style="5" bestFit="1" customWidth="1"/>
    <col min="7" max="9" width="5.375" style="6" customWidth="1"/>
    <col min="10" max="10" width="4.875" style="6" customWidth="1"/>
    <col min="11" max="11" width="12.25390625" style="6" customWidth="1"/>
    <col min="12" max="12" width="10.375" style="29" customWidth="1"/>
    <col min="13" max="13" width="7.875" style="6" bestFit="1" customWidth="1"/>
    <col min="14" max="14" width="9.375" style="6" bestFit="1" customWidth="1"/>
    <col min="15" max="15" width="19.75390625" style="5" customWidth="1"/>
    <col min="16" max="16384" width="9.125" style="3" customWidth="1"/>
  </cols>
  <sheetData>
    <row r="1" spans="1:15" s="2" customFormat="1" ht="28.5" customHeight="1">
      <c r="A1" s="48" t="s">
        <v>271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243</v>
      </c>
      <c r="F3" s="43" t="s">
        <v>5</v>
      </c>
      <c r="G3" s="43" t="s">
        <v>6</v>
      </c>
      <c r="H3" s="43"/>
      <c r="I3" s="43"/>
      <c r="J3" s="43"/>
      <c r="K3" s="43" t="s">
        <v>244</v>
      </c>
      <c r="L3" s="43"/>
      <c r="M3" s="43" t="s">
        <v>7</v>
      </c>
      <c r="N3" s="43" t="s">
        <v>8</v>
      </c>
      <c r="O3" s="45" t="s">
        <v>9</v>
      </c>
    </row>
    <row r="4" spans="1:15" s="1" customFormat="1" ht="21" customHeight="1" thickBot="1">
      <c r="A4" s="57"/>
      <c r="B4" s="40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10</v>
      </c>
      <c r="K4" s="4" t="s">
        <v>141</v>
      </c>
      <c r="L4" s="27" t="s">
        <v>142</v>
      </c>
      <c r="M4" s="44"/>
      <c r="N4" s="44"/>
      <c r="O4" s="46"/>
    </row>
    <row r="5" spans="1:12" ht="15">
      <c r="A5" s="47" t="s">
        <v>79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 ht="12.75">
      <c r="A6" s="8" t="s">
        <v>12</v>
      </c>
      <c r="B6" s="7" t="s">
        <v>272</v>
      </c>
      <c r="C6" s="7" t="s">
        <v>273</v>
      </c>
      <c r="D6" s="7" t="s">
        <v>81</v>
      </c>
      <c r="E6" s="7" t="str">
        <f>"0,6410"</f>
        <v>0,6410</v>
      </c>
      <c r="F6" s="7" t="s">
        <v>274</v>
      </c>
      <c r="G6" s="9" t="s">
        <v>66</v>
      </c>
      <c r="H6" s="9" t="s">
        <v>45</v>
      </c>
      <c r="I6" s="9" t="s">
        <v>46</v>
      </c>
      <c r="J6" s="8"/>
      <c r="K6" s="8" t="s">
        <v>27</v>
      </c>
      <c r="L6" s="28">
        <v>30</v>
      </c>
      <c r="M6" s="8" t="str">
        <f>"190,0"</f>
        <v>190,0</v>
      </c>
      <c r="N6" s="8" t="str">
        <f>"7118,3047"</f>
        <v>7118,3047</v>
      </c>
      <c r="O6" s="7" t="s">
        <v>28</v>
      </c>
    </row>
    <row r="7" ht="12.75">
      <c r="B7" s="5" t="s">
        <v>30</v>
      </c>
    </row>
    <row r="8" spans="1:12" ht="15">
      <c r="A8" s="38" t="s">
        <v>83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5" ht="12.75">
      <c r="A9" s="12" t="s">
        <v>12</v>
      </c>
      <c r="B9" s="11" t="s">
        <v>275</v>
      </c>
      <c r="C9" s="11" t="s">
        <v>276</v>
      </c>
      <c r="D9" s="11" t="s">
        <v>86</v>
      </c>
      <c r="E9" s="11" t="str">
        <f>"0,6098"</f>
        <v>0,6098</v>
      </c>
      <c r="F9" s="11" t="s">
        <v>39</v>
      </c>
      <c r="G9" s="17" t="s">
        <v>63</v>
      </c>
      <c r="H9" s="17" t="s">
        <v>61</v>
      </c>
      <c r="I9" s="18" t="s">
        <v>73</v>
      </c>
      <c r="J9" s="12"/>
      <c r="K9" s="12" t="s">
        <v>18</v>
      </c>
      <c r="L9" s="30">
        <v>18</v>
      </c>
      <c r="M9" s="12" t="str">
        <f>"158,0"</f>
        <v>158,0</v>
      </c>
      <c r="N9" s="12" t="str">
        <f>"5585,7678"</f>
        <v>5585,7678</v>
      </c>
      <c r="O9" s="11" t="s">
        <v>28</v>
      </c>
    </row>
    <row r="10" spans="1:15" ht="12.75">
      <c r="A10" s="14" t="s">
        <v>12</v>
      </c>
      <c r="B10" s="13" t="s">
        <v>277</v>
      </c>
      <c r="C10" s="13" t="s">
        <v>278</v>
      </c>
      <c r="D10" s="13" t="s">
        <v>279</v>
      </c>
      <c r="E10" s="13" t="str">
        <f>"0,6150"</f>
        <v>0,6150</v>
      </c>
      <c r="F10" s="13" t="s">
        <v>280</v>
      </c>
      <c r="G10" s="19" t="s">
        <v>46</v>
      </c>
      <c r="H10" s="19" t="s">
        <v>72</v>
      </c>
      <c r="I10" s="20" t="s">
        <v>69</v>
      </c>
      <c r="J10" s="14"/>
      <c r="K10" s="14" t="s">
        <v>18</v>
      </c>
      <c r="L10" s="31">
        <v>29</v>
      </c>
      <c r="M10" s="14" t="str">
        <f>"199,0"</f>
        <v>199,0</v>
      </c>
      <c r="N10" s="14" t="str">
        <f>"7367,7001"</f>
        <v>7367,7001</v>
      </c>
      <c r="O10" s="13" t="s">
        <v>28</v>
      </c>
    </row>
    <row r="11" ht="12.75">
      <c r="B11" s="5" t="s">
        <v>30</v>
      </c>
    </row>
  </sheetData>
  <sheetProtection/>
  <mergeCells count="14">
    <mergeCell ref="O3:O4"/>
    <mergeCell ref="A5:L5"/>
    <mergeCell ref="A1:O2"/>
    <mergeCell ref="A3:A4"/>
    <mergeCell ref="C3:C4"/>
    <mergeCell ref="D3:D4"/>
    <mergeCell ref="E3:E4"/>
    <mergeCell ref="F3:F4"/>
    <mergeCell ref="G3:J3"/>
    <mergeCell ref="A8:L8"/>
    <mergeCell ref="B3:B4"/>
    <mergeCell ref="K3:L3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1" sqref="A1:O2"/>
    </sheetView>
  </sheetViews>
  <sheetFormatPr defaultColWidth="9.125" defaultRowHeight="12.75"/>
  <cols>
    <col min="1" max="1" width="7.375" style="5" bestFit="1" customWidth="1"/>
    <col min="2" max="2" width="17.375" style="5" bestFit="1" customWidth="1"/>
    <col min="3" max="3" width="26.25390625" style="5" bestFit="1" customWidth="1"/>
    <col min="4" max="4" width="21.375" style="5" bestFit="1" customWidth="1"/>
    <col min="5" max="5" width="15.125" style="5" bestFit="1" customWidth="1"/>
    <col min="6" max="6" width="18.75390625" style="5" bestFit="1" customWidth="1"/>
    <col min="7" max="9" width="5.375" style="6" customWidth="1"/>
    <col min="10" max="10" width="4.875" style="6" customWidth="1"/>
    <col min="11" max="11" width="9.25390625" style="6" customWidth="1"/>
    <col min="12" max="12" width="12.375" style="29" customWidth="1"/>
    <col min="13" max="13" width="7.875" style="6" bestFit="1" customWidth="1"/>
    <col min="14" max="14" width="9.375" style="6" bestFit="1" customWidth="1"/>
    <col min="15" max="15" width="20.375" style="5" customWidth="1"/>
    <col min="16" max="16384" width="9.125" style="3" customWidth="1"/>
  </cols>
  <sheetData>
    <row r="1" spans="1:15" s="2" customFormat="1" ht="28.5" customHeight="1">
      <c r="A1" s="48" t="s">
        <v>281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243</v>
      </c>
      <c r="F3" s="43" t="s">
        <v>5</v>
      </c>
      <c r="G3" s="43" t="s">
        <v>6</v>
      </c>
      <c r="H3" s="43"/>
      <c r="I3" s="43"/>
      <c r="J3" s="43"/>
      <c r="K3" s="43" t="s">
        <v>244</v>
      </c>
      <c r="L3" s="43"/>
      <c r="M3" s="43" t="s">
        <v>7</v>
      </c>
      <c r="N3" s="43" t="s">
        <v>8</v>
      </c>
      <c r="O3" s="45" t="s">
        <v>9</v>
      </c>
    </row>
    <row r="4" spans="1:15" s="1" customFormat="1" ht="21" customHeight="1" thickBot="1">
      <c r="A4" s="57"/>
      <c r="B4" s="40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10</v>
      </c>
      <c r="K4" s="4" t="s">
        <v>141</v>
      </c>
      <c r="L4" s="27" t="s">
        <v>142</v>
      </c>
      <c r="M4" s="44"/>
      <c r="N4" s="44"/>
      <c r="O4" s="46"/>
    </row>
    <row r="5" spans="1:12" ht="15">
      <c r="A5" s="47" t="s">
        <v>89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 ht="12.75">
      <c r="A6" s="8" t="s">
        <v>12</v>
      </c>
      <c r="B6" s="7" t="s">
        <v>282</v>
      </c>
      <c r="C6" s="7" t="s">
        <v>283</v>
      </c>
      <c r="D6" s="7" t="s">
        <v>122</v>
      </c>
      <c r="E6" s="7" t="str">
        <f>"0,5919"</f>
        <v>0,5919</v>
      </c>
      <c r="F6" s="7" t="s">
        <v>92</v>
      </c>
      <c r="G6" s="9" t="s">
        <v>33</v>
      </c>
      <c r="H6" s="9" t="s">
        <v>34</v>
      </c>
      <c r="I6" s="10" t="s">
        <v>58</v>
      </c>
      <c r="J6" s="8"/>
      <c r="K6" s="8" t="s">
        <v>32</v>
      </c>
      <c r="L6" s="28">
        <v>46</v>
      </c>
      <c r="M6" s="8" t="str">
        <f>"171,0"</f>
        <v>171,0</v>
      </c>
      <c r="N6" s="8" t="str">
        <f>"5571,2587"</f>
        <v>5571,2587</v>
      </c>
      <c r="O6" s="7" t="s">
        <v>28</v>
      </c>
    </row>
    <row r="7" ht="12.75">
      <c r="B7" s="5" t="s">
        <v>30</v>
      </c>
    </row>
  </sheetData>
  <sheetProtection/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I35" sqref="I35"/>
    </sheetView>
  </sheetViews>
  <sheetFormatPr defaultColWidth="9.125" defaultRowHeight="12.75"/>
  <cols>
    <col min="1" max="1" width="7.375" style="5" bestFit="1" customWidth="1"/>
    <col min="2" max="2" width="17.25390625" style="5" bestFit="1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23.125" style="5" bestFit="1" customWidth="1"/>
    <col min="7" max="9" width="5.375" style="6" customWidth="1"/>
    <col min="10" max="10" width="4.875" style="6" customWidth="1"/>
    <col min="11" max="11" width="12.25390625" style="6" customWidth="1"/>
    <col min="12" max="12" width="12.875" style="29" customWidth="1"/>
    <col min="13" max="13" width="7.875" style="6" bestFit="1" customWidth="1"/>
    <col min="14" max="14" width="10.375" style="6" bestFit="1" customWidth="1"/>
    <col min="15" max="15" width="15.375" style="5" bestFit="1" customWidth="1"/>
    <col min="16" max="16384" width="9.125" style="3" customWidth="1"/>
  </cols>
  <sheetData>
    <row r="1" spans="1:15" s="2" customFormat="1" ht="28.5" customHeight="1">
      <c r="A1" s="48" t="s">
        <v>284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" customFormat="1" ht="61.5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1" customFormat="1" ht="12.75" customHeight="1">
      <c r="A3" s="56" t="s">
        <v>0</v>
      </c>
      <c r="B3" s="39" t="s">
        <v>1</v>
      </c>
      <c r="C3" s="58" t="s">
        <v>2</v>
      </c>
      <c r="D3" s="58" t="s">
        <v>3</v>
      </c>
      <c r="E3" s="43" t="s">
        <v>243</v>
      </c>
      <c r="F3" s="43" t="s">
        <v>5</v>
      </c>
      <c r="G3" s="43" t="s">
        <v>6</v>
      </c>
      <c r="H3" s="43"/>
      <c r="I3" s="43"/>
      <c r="J3" s="43"/>
      <c r="K3" s="43" t="s">
        <v>244</v>
      </c>
      <c r="L3" s="43"/>
      <c r="M3" s="43" t="s">
        <v>7</v>
      </c>
      <c r="N3" s="43" t="s">
        <v>8</v>
      </c>
      <c r="O3" s="45" t="s">
        <v>9</v>
      </c>
    </row>
    <row r="4" spans="1:15" s="1" customFormat="1" ht="21" customHeight="1" thickBot="1">
      <c r="A4" s="57"/>
      <c r="B4" s="40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10</v>
      </c>
      <c r="K4" s="4" t="s">
        <v>141</v>
      </c>
      <c r="L4" s="27" t="s">
        <v>142</v>
      </c>
      <c r="M4" s="44"/>
      <c r="N4" s="44"/>
      <c r="O4" s="46"/>
    </row>
    <row r="5" spans="1:12" ht="15">
      <c r="A5" s="47" t="s">
        <v>246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 ht="12.75">
      <c r="A6" s="12" t="s">
        <v>12</v>
      </c>
      <c r="B6" s="11" t="s">
        <v>247</v>
      </c>
      <c r="C6" s="11" t="s">
        <v>285</v>
      </c>
      <c r="D6" s="11" t="s">
        <v>249</v>
      </c>
      <c r="E6" s="11" t="str">
        <f>"0,7544"</f>
        <v>0,7544</v>
      </c>
      <c r="F6" s="11" t="s">
        <v>250</v>
      </c>
      <c r="G6" s="17" t="s">
        <v>72</v>
      </c>
      <c r="H6" s="17" t="s">
        <v>84</v>
      </c>
      <c r="I6" s="18" t="s">
        <v>75</v>
      </c>
      <c r="J6" s="12"/>
      <c r="K6" s="12" t="s">
        <v>24</v>
      </c>
      <c r="L6" s="30">
        <v>86</v>
      </c>
      <c r="M6" s="12" t="str">
        <f>"266,0"</f>
        <v>266,0</v>
      </c>
      <c r="N6" s="12" t="str">
        <f>"11558,1626"</f>
        <v>11558,1626</v>
      </c>
      <c r="O6" s="11" t="s">
        <v>28</v>
      </c>
    </row>
    <row r="7" spans="1:15" ht="12.75">
      <c r="A7" s="14" t="s">
        <v>12</v>
      </c>
      <c r="B7" s="13" t="s">
        <v>247</v>
      </c>
      <c r="C7" s="13" t="s">
        <v>248</v>
      </c>
      <c r="D7" s="13" t="s">
        <v>249</v>
      </c>
      <c r="E7" s="13" t="str">
        <f>"0,7544"</f>
        <v>0,7544</v>
      </c>
      <c r="F7" s="13" t="s">
        <v>250</v>
      </c>
      <c r="G7" s="19" t="s">
        <v>72</v>
      </c>
      <c r="H7" s="19" t="s">
        <v>84</v>
      </c>
      <c r="I7" s="20" t="s">
        <v>75</v>
      </c>
      <c r="J7" s="14"/>
      <c r="K7" s="14" t="s">
        <v>24</v>
      </c>
      <c r="L7" s="31">
        <v>86</v>
      </c>
      <c r="M7" s="14" t="str">
        <f>"266,0"</f>
        <v>266,0</v>
      </c>
      <c r="N7" s="14" t="str">
        <f>"11558,1626"</f>
        <v>11558,1626</v>
      </c>
      <c r="O7" s="13" t="s">
        <v>28</v>
      </c>
    </row>
    <row r="8" ht="12.75">
      <c r="B8" s="5" t="s">
        <v>30</v>
      </c>
    </row>
    <row r="9" spans="1:12" ht="15">
      <c r="A9" s="38" t="s">
        <v>79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5" ht="12.75">
      <c r="A10" s="8" t="s">
        <v>12</v>
      </c>
      <c r="B10" s="7" t="s">
        <v>286</v>
      </c>
      <c r="C10" s="7" t="s">
        <v>287</v>
      </c>
      <c r="D10" s="7" t="s">
        <v>109</v>
      </c>
      <c r="E10" s="7" t="str">
        <f>"0,6391"</f>
        <v>0,6391</v>
      </c>
      <c r="F10" s="7" t="s">
        <v>162</v>
      </c>
      <c r="G10" s="9" t="s">
        <v>87</v>
      </c>
      <c r="H10" s="9" t="s">
        <v>67</v>
      </c>
      <c r="I10" s="10" t="s">
        <v>133</v>
      </c>
      <c r="J10" s="8"/>
      <c r="K10" s="8" t="s">
        <v>27</v>
      </c>
      <c r="L10" s="28">
        <v>42</v>
      </c>
      <c r="M10" s="8" t="str">
        <f>"247,0"</f>
        <v>247,0</v>
      </c>
      <c r="N10" s="8" t="str">
        <f>"9328,9429"</f>
        <v>9328,9429</v>
      </c>
      <c r="O10" s="7" t="s">
        <v>28</v>
      </c>
    </row>
    <row r="11" ht="12.75">
      <c r="B11" s="5" t="s">
        <v>30</v>
      </c>
    </row>
  </sheetData>
  <sheetProtection/>
  <mergeCells count="14">
    <mergeCell ref="O3:O4"/>
    <mergeCell ref="A5:L5"/>
    <mergeCell ref="A1:O2"/>
    <mergeCell ref="A3:A4"/>
    <mergeCell ref="C3:C4"/>
    <mergeCell ref="D3:D4"/>
    <mergeCell ref="E3:E4"/>
    <mergeCell ref="F3:F4"/>
    <mergeCell ref="G3:J3"/>
    <mergeCell ref="A9:L9"/>
    <mergeCell ref="B3:B4"/>
    <mergeCell ref="K3:L3"/>
    <mergeCell ref="M3:M4"/>
    <mergeCell ref="N3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Pascal Girard</cp:lastModifiedBy>
  <dcterms:created xsi:type="dcterms:W3CDTF">2002-06-16T13:36:44Z</dcterms:created>
  <dcterms:modified xsi:type="dcterms:W3CDTF">2021-12-23T16:24:03Z</dcterms:modified>
  <cp:category/>
  <cp:version/>
  <cp:contentType/>
  <cp:contentStatus/>
</cp:coreProperties>
</file>