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1155" windowWidth="24240" windowHeight="13740" tabRatio="806" firstSheet="1" activeTab="1"/>
  </bookViews>
  <sheets>
    <sheet name="WRPF BP Raw DC" sheetId="1" r:id="rId1"/>
    <sheet name="WRPF BP Repeats 1 bw DC" sheetId="2" r:id="rId2"/>
    <sheet name="WRPF BP Repeats 1 bw" sheetId="3" r:id="rId3"/>
    <sheet name="WRPF BP Repeats 1_2 bw DC" sheetId="4" r:id="rId4"/>
    <sheet name="WRPF BP Repeats 1_2 bw" sheetId="5" r:id="rId5"/>
  </sheets>
  <definedNames/>
  <calcPr fullCalcOnLoad="1"/>
</workbook>
</file>

<file path=xl/sharedStrings.xml><?xml version="1.0" encoding="utf-8"?>
<sst xmlns="http://schemas.openxmlformats.org/spreadsheetml/2006/main" count="3193" uniqueCount="1212">
  <si>
    <t>Place</t>
  </si>
  <si>
    <t>Name</t>
  </si>
  <si>
    <t>Age class
Birth date/Age</t>
  </si>
  <si>
    <t>Own 
bodyweight</t>
  </si>
  <si>
    <t>Wilks</t>
  </si>
  <si>
    <t>Team</t>
  </si>
  <si>
    <t>Country/City</t>
  </si>
  <si>
    <t>Bench Press</t>
  </si>
  <si>
    <t>Pts</t>
  </si>
  <si>
    <t>Coach</t>
  </si>
  <si>
    <t>Rec</t>
  </si>
  <si>
    <t>Weight class   44</t>
  </si>
  <si>
    <t>-</t>
  </si>
  <si>
    <t>Russia</t>
  </si>
  <si>
    <t xml:space="preserve">RUS/Москва </t>
  </si>
  <si>
    <t>75,0</t>
  </si>
  <si>
    <t>82,5</t>
  </si>
  <si>
    <t>45,0</t>
  </si>
  <si>
    <t>47,5</t>
  </si>
  <si>
    <t>50,0</t>
  </si>
  <si>
    <t>Without coach</t>
  </si>
  <si>
    <t/>
  </si>
  <si>
    <t>Weight class   48</t>
  </si>
  <si>
    <t>1</t>
  </si>
  <si>
    <t>80,0</t>
  </si>
  <si>
    <t>32,5</t>
  </si>
  <si>
    <t>35,0</t>
  </si>
  <si>
    <t>37,5</t>
  </si>
  <si>
    <t>85,0</t>
  </si>
  <si>
    <t>92,5</t>
  </si>
  <si>
    <t>Weight class   52</t>
  </si>
  <si>
    <t>51,30</t>
  </si>
  <si>
    <t>70,0</t>
  </si>
  <si>
    <t>40,0</t>
  </si>
  <si>
    <t>100,0</t>
  </si>
  <si>
    <t>105,0</t>
  </si>
  <si>
    <t>110,0</t>
  </si>
  <si>
    <t xml:space="preserve">Russia </t>
  </si>
  <si>
    <t xml:space="preserve">RUS/Новочеркасск </t>
  </si>
  <si>
    <t>90,0</t>
  </si>
  <si>
    <t>97,5</t>
  </si>
  <si>
    <t>52,5</t>
  </si>
  <si>
    <t>55,0</t>
  </si>
  <si>
    <t>135,0</t>
  </si>
  <si>
    <t>145,0</t>
  </si>
  <si>
    <t>150,0</t>
  </si>
  <si>
    <t xml:space="preserve">Пахучий А. </t>
  </si>
  <si>
    <t>2</t>
  </si>
  <si>
    <t>95,0</t>
  </si>
  <si>
    <t>57,5</t>
  </si>
  <si>
    <t>60,0</t>
  </si>
  <si>
    <t>112,5</t>
  </si>
  <si>
    <t>117,5</t>
  </si>
  <si>
    <t>120,0</t>
  </si>
  <si>
    <t>42,5</t>
  </si>
  <si>
    <t>102,5</t>
  </si>
  <si>
    <t>Weight class   56</t>
  </si>
  <si>
    <t xml:space="preserve">RUS/Подольск </t>
  </si>
  <si>
    <t>125,0</t>
  </si>
  <si>
    <t>77,5</t>
  </si>
  <si>
    <t>Weight class   60</t>
  </si>
  <si>
    <t>Teenagers 14-16 (04.12.2005)/12</t>
  </si>
  <si>
    <t>57,40</t>
  </si>
  <si>
    <t xml:space="preserve">RUS/Кисловодск </t>
  </si>
  <si>
    <t>65,0</t>
  </si>
  <si>
    <t xml:space="preserve">Тоторкулов З. </t>
  </si>
  <si>
    <t>62,5</t>
  </si>
  <si>
    <t>127,5</t>
  </si>
  <si>
    <t>59,30</t>
  </si>
  <si>
    <t>107,5</t>
  </si>
  <si>
    <t>160,0</t>
  </si>
  <si>
    <t>165,0</t>
  </si>
  <si>
    <t>59,50</t>
  </si>
  <si>
    <t>115,0</t>
  </si>
  <si>
    <t>3</t>
  </si>
  <si>
    <t>4</t>
  </si>
  <si>
    <t>Замятина Наталья</t>
  </si>
  <si>
    <t>Open (14.04.1980)/38</t>
  </si>
  <si>
    <t>58,20</t>
  </si>
  <si>
    <t xml:space="preserve">RUS/Самара </t>
  </si>
  <si>
    <t xml:space="preserve">Замятин И. </t>
  </si>
  <si>
    <t>Тюгай Наталья</t>
  </si>
  <si>
    <t>Masters 50-59 (06.07.1967)/51</t>
  </si>
  <si>
    <t xml:space="preserve">Kazakhstan </t>
  </si>
  <si>
    <t xml:space="preserve">KAZ/Алматы </t>
  </si>
  <si>
    <t>67,5</t>
  </si>
  <si>
    <t>72,5</t>
  </si>
  <si>
    <t>Weight class   67.5</t>
  </si>
  <si>
    <t>130,0</t>
  </si>
  <si>
    <t>67,20</t>
  </si>
  <si>
    <t>66,30</t>
  </si>
  <si>
    <t>122,5</t>
  </si>
  <si>
    <t>152,5</t>
  </si>
  <si>
    <t>155,0</t>
  </si>
  <si>
    <t>147,5</t>
  </si>
  <si>
    <t>5</t>
  </si>
  <si>
    <t>Weight class   75</t>
  </si>
  <si>
    <t>Бихлер Элина</t>
  </si>
  <si>
    <t>Teenagers 17-19 (31.03.1999)/19</t>
  </si>
  <si>
    <t>72,40</t>
  </si>
  <si>
    <t>132,5</t>
  </si>
  <si>
    <t>140,0</t>
  </si>
  <si>
    <t>Печейкин О.</t>
  </si>
  <si>
    <t>Shah Roma</t>
  </si>
  <si>
    <t>Junior (07.06.1998)/20</t>
  </si>
  <si>
    <t>69,90</t>
  </si>
  <si>
    <t>India</t>
  </si>
  <si>
    <t xml:space="preserve">IND/Delhi </t>
  </si>
  <si>
    <t xml:space="preserve">Опиченок Е. </t>
  </si>
  <si>
    <t>Weight class   82.5</t>
  </si>
  <si>
    <t>80,10</t>
  </si>
  <si>
    <t xml:space="preserve">Дурнов Р. </t>
  </si>
  <si>
    <t>Мордвинов Дмитрий</t>
  </si>
  <si>
    <t>Teenagers 17-19 (10.12.1998)/19</t>
  </si>
  <si>
    <t>67,50</t>
  </si>
  <si>
    <t xml:space="preserve">RUS/Санкт-Петербург </t>
  </si>
  <si>
    <t>142,5</t>
  </si>
  <si>
    <t>190,0</t>
  </si>
  <si>
    <t>200,0</t>
  </si>
  <si>
    <t>202,5</t>
  </si>
  <si>
    <t xml:space="preserve">Ивачев А. </t>
  </si>
  <si>
    <t>180,0</t>
  </si>
  <si>
    <t>205,0</t>
  </si>
  <si>
    <t>162,5</t>
  </si>
  <si>
    <t>Shah Abhishek</t>
  </si>
  <si>
    <t>Teenagers 14-16 (08.06.2002)/16</t>
  </si>
  <si>
    <t>74,90</t>
  </si>
  <si>
    <t>137,5</t>
  </si>
  <si>
    <t>195,0</t>
  </si>
  <si>
    <t>Сюсин Иван</t>
  </si>
  <si>
    <t>Junior (18.01.1996)/22</t>
  </si>
  <si>
    <t>70,30</t>
  </si>
  <si>
    <t xml:space="preserve">RUS/Тольятти </t>
  </si>
  <si>
    <t>175,0</t>
  </si>
  <si>
    <t>DQ</t>
  </si>
  <si>
    <t xml:space="preserve">Belarus </t>
  </si>
  <si>
    <t>215,0</t>
  </si>
  <si>
    <t xml:space="preserve">RUS/Рязань </t>
  </si>
  <si>
    <t>170,0</t>
  </si>
  <si>
    <t>210,0</t>
  </si>
  <si>
    <t>230,0</t>
  </si>
  <si>
    <t>240,0</t>
  </si>
  <si>
    <t>207,5</t>
  </si>
  <si>
    <t>82,30</t>
  </si>
  <si>
    <t>237,5</t>
  </si>
  <si>
    <t xml:space="preserve">RUS/Тюмень </t>
  </si>
  <si>
    <t>177,5</t>
  </si>
  <si>
    <t>185,0</t>
  </si>
  <si>
    <t>78,50</t>
  </si>
  <si>
    <t>212,5</t>
  </si>
  <si>
    <t>217,5</t>
  </si>
  <si>
    <t>192,5</t>
  </si>
  <si>
    <t>197,5</t>
  </si>
  <si>
    <t>Weight class   90</t>
  </si>
  <si>
    <t>89,50</t>
  </si>
  <si>
    <t>Копытин Иван</t>
  </si>
  <si>
    <t>Teenagers 17-19 (07.07.1999)/19</t>
  </si>
  <si>
    <t>89,10</t>
  </si>
  <si>
    <t xml:space="preserve">RUS/Луганск </t>
  </si>
  <si>
    <t xml:space="preserve">Булгаков С. </t>
  </si>
  <si>
    <t>90,00</t>
  </si>
  <si>
    <t xml:space="preserve">RUS/Ставрополь </t>
  </si>
  <si>
    <t>167,5</t>
  </si>
  <si>
    <t>182,5</t>
  </si>
  <si>
    <t>87,10</t>
  </si>
  <si>
    <t>89,80</t>
  </si>
  <si>
    <t>89,30</t>
  </si>
  <si>
    <t xml:space="preserve">RUS/Саратов </t>
  </si>
  <si>
    <t>Плешков Владимир</t>
  </si>
  <si>
    <t>Masters 70-79 (29.08.1944)/74</t>
  </si>
  <si>
    <t>86,50</t>
  </si>
  <si>
    <t xml:space="preserve"> RUS/Калининград</t>
  </si>
  <si>
    <t>Weight class   100</t>
  </si>
  <si>
    <t>99,60</t>
  </si>
  <si>
    <t xml:space="preserve">Титков Д. </t>
  </si>
  <si>
    <t>99,30</t>
  </si>
  <si>
    <t>157,5</t>
  </si>
  <si>
    <t xml:space="preserve">Эрнандес Ортега А. </t>
  </si>
  <si>
    <t>98,40</t>
  </si>
  <si>
    <t>98,00</t>
  </si>
  <si>
    <t xml:space="preserve">RUS/Чебоксары </t>
  </si>
  <si>
    <t xml:space="preserve">RUS/Владимир </t>
  </si>
  <si>
    <t>99,20</t>
  </si>
  <si>
    <t>99,90</t>
  </si>
  <si>
    <t>98,60</t>
  </si>
  <si>
    <t>Weight class   110</t>
  </si>
  <si>
    <t>187,5</t>
  </si>
  <si>
    <t>108,90</t>
  </si>
  <si>
    <t>Open (14.12.1987)/30</t>
  </si>
  <si>
    <t xml:space="preserve">RUS/Ангарск </t>
  </si>
  <si>
    <t>6</t>
  </si>
  <si>
    <t>Исрапилов Магомедамин</t>
  </si>
  <si>
    <t>Masters 40-49 (03.05.1975)/43</t>
  </si>
  <si>
    <t>107,40</t>
  </si>
  <si>
    <t xml:space="preserve">RUS/Махачкала </t>
  </si>
  <si>
    <t>172,5</t>
  </si>
  <si>
    <t>Weight class   125</t>
  </si>
  <si>
    <t>Якубин Спартак</t>
  </si>
  <si>
    <t>Teenagers 14-16 (15.11.2001)/16</t>
  </si>
  <si>
    <t>114,90</t>
  </si>
  <si>
    <t xml:space="preserve">Смирнов Д. </t>
  </si>
  <si>
    <t>Weight class   140</t>
  </si>
  <si>
    <t>Анисимов Максим</t>
  </si>
  <si>
    <t>Open (10.05.1982)/36</t>
  </si>
  <si>
    <t>137,50</t>
  </si>
  <si>
    <t xml:space="preserve">Кардапольцев Е. </t>
  </si>
  <si>
    <t>Weight class   140+</t>
  </si>
  <si>
    <t>Тоторкулов Заур</t>
  </si>
  <si>
    <t>Open (03.08.1979)/39</t>
  </si>
  <si>
    <t>140,10</t>
  </si>
  <si>
    <t xml:space="preserve">Best lifters </t>
  </si>
  <si>
    <t xml:space="preserve">Women </t>
  </si>
  <si>
    <t xml:space="preserve">Open </t>
  </si>
  <si>
    <t xml:space="preserve">Name </t>
  </si>
  <si>
    <t xml:space="preserve">Age class </t>
  </si>
  <si>
    <t>Weight class</t>
  </si>
  <si>
    <t xml:space="preserve">Wilks </t>
  </si>
  <si>
    <t>67.5</t>
  </si>
  <si>
    <t>52</t>
  </si>
  <si>
    <t xml:space="preserve">Masters </t>
  </si>
  <si>
    <t>75</t>
  </si>
  <si>
    <t xml:space="preserve">Masters 40-49 </t>
  </si>
  <si>
    <t>60</t>
  </si>
  <si>
    <t>Men</t>
  </si>
  <si>
    <t xml:space="preserve">Teenagers </t>
  </si>
  <si>
    <t xml:space="preserve">Teenagers 17-19 </t>
  </si>
  <si>
    <t>100</t>
  </si>
  <si>
    <t>90</t>
  </si>
  <si>
    <t>82.5</t>
  </si>
  <si>
    <t>110</t>
  </si>
  <si>
    <t xml:space="preserve">Masters 70-79 </t>
  </si>
  <si>
    <t>75,00</t>
  </si>
  <si>
    <t>247,5</t>
  </si>
  <si>
    <t>74,30</t>
  </si>
  <si>
    <t xml:space="preserve">RUS/Тула </t>
  </si>
  <si>
    <t>82,50</t>
  </si>
  <si>
    <t xml:space="preserve">Газизов Д. </t>
  </si>
  <si>
    <t xml:space="preserve">RUS/Дербент </t>
  </si>
  <si>
    <t xml:space="preserve">Тулпаров Ш. </t>
  </si>
  <si>
    <t>Kazakhstan</t>
  </si>
  <si>
    <t>Belarus</t>
  </si>
  <si>
    <t>88,40</t>
  </si>
  <si>
    <t>89,40</t>
  </si>
  <si>
    <t>88,80</t>
  </si>
  <si>
    <t>99,80</t>
  </si>
  <si>
    <t>Open (09.08.1992)/26</t>
  </si>
  <si>
    <t xml:space="preserve">RUS/Пенза </t>
  </si>
  <si>
    <t xml:space="preserve">RUS/Новокузнецк </t>
  </si>
  <si>
    <t>Teenagers 14-16 (14.10.2003)/14</t>
  </si>
  <si>
    <t>47,60</t>
  </si>
  <si>
    <t>Open (22.11.1988)/29</t>
  </si>
  <si>
    <t>48,00</t>
  </si>
  <si>
    <t xml:space="preserve">BLR/Минск </t>
  </si>
  <si>
    <t>Тарасова Валентина</t>
  </si>
  <si>
    <t>Open (07.07.1975)/43</t>
  </si>
  <si>
    <t xml:space="preserve">Печейкин О. </t>
  </si>
  <si>
    <t>Masters 40-49 (07.07.1975)/43</t>
  </si>
  <si>
    <t>Batbold Enkhtamir</t>
  </si>
  <si>
    <t>Junior (30.06.1996)/22</t>
  </si>
  <si>
    <t xml:space="preserve">Mongolia </t>
  </si>
  <si>
    <t xml:space="preserve">MNG/Улангом </t>
  </si>
  <si>
    <t>Фаррафутдинова Татьяна</t>
  </si>
  <si>
    <t>Open (05.05.1983)/35</t>
  </si>
  <si>
    <t>72,70</t>
  </si>
  <si>
    <t xml:space="preserve">RUS/Челябинск </t>
  </si>
  <si>
    <t xml:space="preserve">Пилипишко Н. </t>
  </si>
  <si>
    <t>Мухтарамов Муроджон</t>
  </si>
  <si>
    <t>Teenagers 14-16 (13.02.2003)/15</t>
  </si>
  <si>
    <t>54,30</t>
  </si>
  <si>
    <t>Tajikistan</t>
  </si>
  <si>
    <t xml:space="preserve">TJK/Душанбе </t>
  </si>
  <si>
    <t xml:space="preserve">Насриддинов М. </t>
  </si>
  <si>
    <t>74,50</t>
  </si>
  <si>
    <t>Bayanmunkh Sarankhuu</t>
  </si>
  <si>
    <t>Junior (18.08.1995)/23</t>
  </si>
  <si>
    <t>74,60</t>
  </si>
  <si>
    <t>72,90</t>
  </si>
  <si>
    <t xml:space="preserve">RUS/Лобня </t>
  </si>
  <si>
    <t xml:space="preserve">Сизов Е. </t>
  </si>
  <si>
    <t>74,70</t>
  </si>
  <si>
    <t>Телидис Костас</t>
  </si>
  <si>
    <t>Open (18.04.1989)/29</t>
  </si>
  <si>
    <t xml:space="preserve">RUS/Свирск </t>
  </si>
  <si>
    <t>Open (18.08.1995)/23</t>
  </si>
  <si>
    <t xml:space="preserve">  MNG/Улан-Батор</t>
  </si>
  <si>
    <t xml:space="preserve">RUS/Зеленоград </t>
  </si>
  <si>
    <t>Батмунх Болдбаатар</t>
  </si>
  <si>
    <t>Open (20.01.1989)/29</t>
  </si>
  <si>
    <t xml:space="preserve">Ганболд Б. </t>
  </si>
  <si>
    <t>81,70</t>
  </si>
  <si>
    <t xml:space="preserve">RUS/Курск </t>
  </si>
  <si>
    <t>80,80</t>
  </si>
  <si>
    <t>Byamba Davaanyam</t>
  </si>
  <si>
    <t>Junior (19.07.1997)/21</t>
  </si>
  <si>
    <t xml:space="preserve">MNG/Улан-Батор </t>
  </si>
  <si>
    <t>Третьяков Дмитрий</t>
  </si>
  <si>
    <t>Open (27.01.1983)/35</t>
  </si>
  <si>
    <t>79,60</t>
  </si>
  <si>
    <t xml:space="preserve">RUS/Оленегорск </t>
  </si>
  <si>
    <t xml:space="preserve">Беловал Е. </t>
  </si>
  <si>
    <t>81,80</t>
  </si>
  <si>
    <t>79,80</t>
  </si>
  <si>
    <t xml:space="preserve">RUS/Норильск </t>
  </si>
  <si>
    <t>87,90</t>
  </si>
  <si>
    <t xml:space="preserve"> RUS/Сургут</t>
  </si>
  <si>
    <t>Мягмар Гансух</t>
  </si>
  <si>
    <t>Open (16.12.1984)/33</t>
  </si>
  <si>
    <t>97,60</t>
  </si>
  <si>
    <t>ДамIran Гантулга</t>
  </si>
  <si>
    <t>Open (28.12.1986)/31</t>
  </si>
  <si>
    <t>98,30</t>
  </si>
  <si>
    <t xml:space="preserve">RUS/Камышин </t>
  </si>
  <si>
    <t xml:space="preserve">Танаев М. </t>
  </si>
  <si>
    <t xml:space="preserve">RUS/Благовещенск </t>
  </si>
  <si>
    <t>Erdenetsogt Tsogbadrakh</t>
  </si>
  <si>
    <t>Open (09.12.1978)/39</t>
  </si>
  <si>
    <t>117,20</t>
  </si>
  <si>
    <t>56</t>
  </si>
  <si>
    <t xml:space="preserve">Junior </t>
  </si>
  <si>
    <t>56,00</t>
  </si>
  <si>
    <t>63,20</t>
  </si>
  <si>
    <t>81,50</t>
  </si>
  <si>
    <t>67,30</t>
  </si>
  <si>
    <t xml:space="preserve"> KAZ/Жезказган</t>
  </si>
  <si>
    <t>74,80</t>
  </si>
  <si>
    <t>73,80</t>
  </si>
  <si>
    <t>80,60</t>
  </si>
  <si>
    <t>82,00</t>
  </si>
  <si>
    <t>86,20</t>
  </si>
  <si>
    <t>88,20</t>
  </si>
  <si>
    <t xml:space="preserve">UKR/Донецк </t>
  </si>
  <si>
    <t>88,50</t>
  </si>
  <si>
    <t>93,30</t>
  </si>
  <si>
    <t>Junior (03.07.1997)/21</t>
  </si>
  <si>
    <t xml:space="preserve"> RUS/Ростов-на-Дону</t>
  </si>
  <si>
    <t xml:space="preserve">Team </t>
  </si>
  <si>
    <t>7</t>
  </si>
  <si>
    <t>Open (15.01.1982)/36</t>
  </si>
  <si>
    <t>8</t>
  </si>
  <si>
    <t xml:space="preserve">BLR/Брест </t>
  </si>
  <si>
    <t>Пятов Евгений</t>
  </si>
  <si>
    <t>Open (18.02.1989)/29</t>
  </si>
  <si>
    <t>114,00</t>
  </si>
  <si>
    <t>122,00</t>
  </si>
  <si>
    <t xml:space="preserve">RUS/Воскресенск </t>
  </si>
  <si>
    <t>122,90</t>
  </si>
  <si>
    <t xml:space="preserve">RUS/Обнинск </t>
  </si>
  <si>
    <t>9</t>
  </si>
  <si>
    <t>Open (11.10.1981)/36</t>
  </si>
  <si>
    <t xml:space="preserve">RUS/Новошахтинск </t>
  </si>
  <si>
    <t>125</t>
  </si>
  <si>
    <t>140</t>
  </si>
  <si>
    <t xml:space="preserve">RUS/Химки </t>
  </si>
  <si>
    <t xml:space="preserve">RUS/Дзержинский </t>
  </si>
  <si>
    <t>59,20</t>
  </si>
  <si>
    <t>66,70</t>
  </si>
  <si>
    <t>73,40</t>
  </si>
  <si>
    <t>Armenia</t>
  </si>
  <si>
    <t xml:space="preserve"> ARM/Erevan</t>
  </si>
  <si>
    <t>Хамбабян Давит</t>
  </si>
  <si>
    <t>Open (01.08.1989)/29</t>
  </si>
  <si>
    <t>73,90</t>
  </si>
  <si>
    <t>Ольховский В.</t>
  </si>
  <si>
    <t>70,70</t>
  </si>
  <si>
    <t>Urgujikh Shinebayar</t>
  </si>
  <si>
    <t>Junior (31.01.1995)/23</t>
  </si>
  <si>
    <t>89,00</t>
  </si>
  <si>
    <t xml:space="preserve">RUS/Симферополь </t>
  </si>
  <si>
    <t>Гаджикурбанов Беглар</t>
  </si>
  <si>
    <t>Open (31.01.1981)/37</t>
  </si>
  <si>
    <t>99,40</t>
  </si>
  <si>
    <t xml:space="preserve">Шамхалов А., Исрапилов М. </t>
  </si>
  <si>
    <t>71,80</t>
  </si>
  <si>
    <t>58,90</t>
  </si>
  <si>
    <t xml:space="preserve">RUS/Набережные Челны </t>
  </si>
  <si>
    <t>Аристов Владислав</t>
  </si>
  <si>
    <t>Junior (17.10.1995)/22</t>
  </si>
  <si>
    <t>87,70</t>
  </si>
  <si>
    <t>105,00</t>
  </si>
  <si>
    <t xml:space="preserve">RUS/Воронеж </t>
  </si>
  <si>
    <t>WRPF World Championship
WRPF Bench Press Raw with doping-control
Russia / Moscow, October 04-06, 2018</t>
  </si>
  <si>
    <t>Result</t>
  </si>
  <si>
    <t>Teenagers 14-16 (22.02.2007)/11</t>
  </si>
  <si>
    <t>41,30</t>
  </si>
  <si>
    <t xml:space="preserve">Мочалов И. </t>
  </si>
  <si>
    <t>Open (10.12.1982)/35</t>
  </si>
  <si>
    <t>47,10</t>
  </si>
  <si>
    <t xml:space="preserve">RUS/Змеиногорск </t>
  </si>
  <si>
    <t xml:space="preserve">Александров А. </t>
  </si>
  <si>
    <t>Open (01.06.1987)/31</t>
  </si>
  <si>
    <t>47,70</t>
  </si>
  <si>
    <t xml:space="preserve">RUS/Боготол </t>
  </si>
  <si>
    <t>Open (05.07.1989)/29</t>
  </si>
  <si>
    <t>51,10</t>
  </si>
  <si>
    <t>Masters 40-49 (30.06.1972)/46</t>
  </si>
  <si>
    <t>51,50</t>
  </si>
  <si>
    <t xml:space="preserve">Филоненко И. </t>
  </si>
  <si>
    <t>Teenagers 14-16 (13.02.2004)/14</t>
  </si>
  <si>
    <t>55,00</t>
  </si>
  <si>
    <t xml:space="preserve">RUS/КраснопеRecопск </t>
  </si>
  <si>
    <t xml:space="preserve">Полутин С. </t>
  </si>
  <si>
    <t>Бабанова Екатерина</t>
  </si>
  <si>
    <t>Teenagers 17-19 (24.10.1998)/19</t>
  </si>
  <si>
    <t>53,30</t>
  </si>
  <si>
    <t xml:space="preserve">RUS/Якутск </t>
  </si>
  <si>
    <t>Бабанов И.</t>
  </si>
  <si>
    <t>Open (24.10.1998)/19</t>
  </si>
  <si>
    <t>Open (15.07.1982)/36</t>
  </si>
  <si>
    <t>Виноградов О.</t>
  </si>
  <si>
    <t>Open (05.05.1987)/31</t>
  </si>
  <si>
    <t>55,50</t>
  </si>
  <si>
    <t xml:space="preserve">RUS/Видное </t>
  </si>
  <si>
    <t xml:space="preserve">Зайцев Е. </t>
  </si>
  <si>
    <t>Teenagers 17-19 (18.05.2000)/18</t>
  </si>
  <si>
    <t xml:space="preserve">Радмир У. </t>
  </si>
  <si>
    <t>Junior (17.11.1996)/21</t>
  </si>
  <si>
    <t>58,40</t>
  </si>
  <si>
    <t xml:space="preserve">RUS/Орёл </t>
  </si>
  <si>
    <t>Логвинов А.</t>
  </si>
  <si>
    <t>Junior (17.10.1996)/21</t>
  </si>
  <si>
    <t xml:space="preserve">Зорин Е. </t>
  </si>
  <si>
    <t>Иванова Марина</t>
  </si>
  <si>
    <t>Open (04.07.1989)/29</t>
  </si>
  <si>
    <t>58,80</t>
  </si>
  <si>
    <t xml:space="preserve">RUS/Саянск </t>
  </si>
  <si>
    <t xml:space="preserve">Харитонов С. </t>
  </si>
  <si>
    <t>Зверева Наталья</t>
  </si>
  <si>
    <t>Open (13.10.1982)/35</t>
  </si>
  <si>
    <t xml:space="preserve">Штин И. </t>
  </si>
  <si>
    <t>Смородина Лариса</t>
  </si>
  <si>
    <t>Masters 50-59 (11.08.1966)/52</t>
  </si>
  <si>
    <t>59,80</t>
  </si>
  <si>
    <t xml:space="preserve">RUS/Октябрьский </t>
  </si>
  <si>
    <t xml:space="preserve">Чевырев А. </t>
  </si>
  <si>
    <t>Цовбун Софья</t>
  </si>
  <si>
    <t>Teenagers 14-16 (30.10.2003)/14</t>
  </si>
  <si>
    <t>62,30</t>
  </si>
  <si>
    <t xml:space="preserve">RUS/Владивосток </t>
  </si>
  <si>
    <t xml:space="preserve">Касараев С. </t>
  </si>
  <si>
    <t>Рикман Элина</t>
  </si>
  <si>
    <t>Teenagers 17-19 (03.07.1999)/19</t>
  </si>
  <si>
    <t>63,30</t>
  </si>
  <si>
    <t xml:space="preserve">Куликов Ю. </t>
  </si>
  <si>
    <t>Корецкая Мария</t>
  </si>
  <si>
    <t>62,60</t>
  </si>
  <si>
    <t xml:space="preserve">RUS/Брянск </t>
  </si>
  <si>
    <t>Open (03.07.1999)/19</t>
  </si>
  <si>
    <t>Open (30.10.2003)/14</t>
  </si>
  <si>
    <t>Лисенкова Анастасия</t>
  </si>
  <si>
    <t>Teenagers 14-16 (15.05.2002)/16</t>
  </si>
  <si>
    <t>73,70</t>
  </si>
  <si>
    <t xml:space="preserve">Орехова Т. </t>
  </si>
  <si>
    <t>Юрченко Анастасия</t>
  </si>
  <si>
    <t>Open (13.02.1988)/30</t>
  </si>
  <si>
    <t>87,5</t>
  </si>
  <si>
    <t>Холина Алёна</t>
  </si>
  <si>
    <t>Teenagers 17-19 (25.02.2000)/18</t>
  </si>
  <si>
    <t>77,10</t>
  </si>
  <si>
    <t>Траскин Кирилл</t>
  </si>
  <si>
    <t>Teenagers 14-16 (07.08.2004)/14</t>
  </si>
  <si>
    <t xml:space="preserve">RUS/Великие Луки </t>
  </si>
  <si>
    <t xml:space="preserve">Докучаев К., Сюмайкин М. </t>
  </si>
  <si>
    <t>Ситдиков Владислав</t>
  </si>
  <si>
    <t>Junior (23.12.1994)/23</t>
  </si>
  <si>
    <t>51,00</t>
  </si>
  <si>
    <t xml:space="preserve">Комиссаров К. </t>
  </si>
  <si>
    <t>Родин Павел</t>
  </si>
  <si>
    <t>Teenagers 14-16 (26.08.2002)/16</t>
  </si>
  <si>
    <t>53,80</t>
  </si>
  <si>
    <t>Юсупов Азиз</t>
  </si>
  <si>
    <t>Teenagers 17-19 (28.12.2000)/17</t>
  </si>
  <si>
    <t>Жгулев Евгений</t>
  </si>
  <si>
    <t>Junior (29.09.1997)/21</t>
  </si>
  <si>
    <t>59,90</t>
  </si>
  <si>
    <t xml:space="preserve">Семёновых В. </t>
  </si>
  <si>
    <t>Паникленко Егор</t>
  </si>
  <si>
    <t>Junior (11.03.1998)/20</t>
  </si>
  <si>
    <t>57,50</t>
  </si>
  <si>
    <t xml:space="preserve"> RUS/Орел</t>
  </si>
  <si>
    <t xml:space="preserve">Логвинов А. </t>
  </si>
  <si>
    <t>Архипов Алексей</t>
  </si>
  <si>
    <t>Masters 40-49 (19.01.1974)/44</t>
  </si>
  <si>
    <t>Шишлянников Даниил</t>
  </si>
  <si>
    <t>Teenagers 14-16 (05.04.2002)/16</t>
  </si>
  <si>
    <t>65,90</t>
  </si>
  <si>
    <t xml:space="preserve">RUS/Ступино </t>
  </si>
  <si>
    <t xml:space="preserve">Шишлянников Д.С </t>
  </si>
  <si>
    <t>Терновской Андрей</t>
  </si>
  <si>
    <t>Junior (15.04.1996)/22</t>
  </si>
  <si>
    <t>Абрамченко М.</t>
  </si>
  <si>
    <t>Бердышев Илья</t>
  </si>
  <si>
    <t>Магомедов Гусен</t>
  </si>
  <si>
    <t>Open (10.01.1993)/25</t>
  </si>
  <si>
    <t>65,70</t>
  </si>
  <si>
    <t xml:space="preserve">RUS/Избербаш </t>
  </si>
  <si>
    <t>Кучин Игорь</t>
  </si>
  <si>
    <t>Open (11.06.1967)/51</t>
  </si>
  <si>
    <t>67,00</t>
  </si>
  <si>
    <t>RUS/Сызрань</t>
  </si>
  <si>
    <t>Самохвалов Никита</t>
  </si>
  <si>
    <t>Open (11.08.1988)/30</t>
  </si>
  <si>
    <t>66,80</t>
  </si>
  <si>
    <t>Кривцев Роман</t>
  </si>
  <si>
    <t>Open (10.04.1978)/40</t>
  </si>
  <si>
    <t xml:space="preserve">RUS/Ессентуки </t>
  </si>
  <si>
    <t>Габараев Николай</t>
  </si>
  <si>
    <t>Open (20.02.1990)/28</t>
  </si>
  <si>
    <t>Морозов Алексей</t>
  </si>
  <si>
    <t>61,90</t>
  </si>
  <si>
    <t xml:space="preserve">Богданов К. </t>
  </si>
  <si>
    <t>Комков Геннадий</t>
  </si>
  <si>
    <t>Open (16.06.1991)/27</t>
  </si>
  <si>
    <t>Masters 40-49 (10.04.1978)/40</t>
  </si>
  <si>
    <t>Masters 50-59 (11.06.1967)/51</t>
  </si>
  <si>
    <t xml:space="preserve"> RUS/Сызрань</t>
  </si>
  <si>
    <t>Хан Владимир</t>
  </si>
  <si>
    <t>Masters 50-59 (18.04.1962)/56</t>
  </si>
  <si>
    <t>67,40</t>
  </si>
  <si>
    <t xml:space="preserve">RUS/Партизанск </t>
  </si>
  <si>
    <t>Салосалов Сергей</t>
  </si>
  <si>
    <t>Teenagers 14-16 (11.09.2004)/14</t>
  </si>
  <si>
    <t xml:space="preserve"> RUS/Щелково</t>
  </si>
  <si>
    <t>Салосалов С.</t>
  </si>
  <si>
    <t>Davtyan Hrant</t>
  </si>
  <si>
    <t>Teenagers 17-19 (03.03.2001)/17</t>
  </si>
  <si>
    <t xml:space="preserve">ARM/Раздан </t>
  </si>
  <si>
    <t>Феоктистов Владимир</t>
  </si>
  <si>
    <t>Teenagers 17-19 (01.06.2000)/18</t>
  </si>
  <si>
    <t>72,80</t>
  </si>
  <si>
    <t xml:space="preserve">Ульзутуев П. </t>
  </si>
  <si>
    <t>Пахомов Тимур</t>
  </si>
  <si>
    <t>Junior (25.10.1995)/22</t>
  </si>
  <si>
    <t xml:space="preserve"> RUS/Волгоград</t>
  </si>
  <si>
    <t>Сухов В.</t>
  </si>
  <si>
    <t>Jagmeet Singh</t>
  </si>
  <si>
    <t>Junior (18.12.1996)/21</t>
  </si>
  <si>
    <t>70,10</t>
  </si>
  <si>
    <t>Янборисов Тимур</t>
  </si>
  <si>
    <t>Junior (21.05.1997)/21</t>
  </si>
  <si>
    <t>73,00</t>
  </si>
  <si>
    <t>RUS/Ростов-на-Дону</t>
  </si>
  <si>
    <t>Роднина А.</t>
  </si>
  <si>
    <t>Степанов Михаил</t>
  </si>
  <si>
    <t>Junior (24.12.1996)/21</t>
  </si>
  <si>
    <t>73,50</t>
  </si>
  <si>
    <t xml:space="preserve">Рыбалкин Д. </t>
  </si>
  <si>
    <t>Соков Денис</t>
  </si>
  <si>
    <t>Open (26.12.1985)/32</t>
  </si>
  <si>
    <t xml:space="preserve">RUS/Кострома </t>
  </si>
  <si>
    <t>Кудрявцев Вадим</t>
  </si>
  <si>
    <t>Open (02.12.1987)/30</t>
  </si>
  <si>
    <t xml:space="preserve">RUS/Краснодар </t>
  </si>
  <si>
    <t>Разуваев Павел</t>
  </si>
  <si>
    <t>Open (02.12.1988)/29</t>
  </si>
  <si>
    <t>71,20</t>
  </si>
  <si>
    <t xml:space="preserve">RUS/Курган </t>
  </si>
  <si>
    <t>Давыдов Денис</t>
  </si>
  <si>
    <t>Open (24.08.1983)/35</t>
  </si>
  <si>
    <t xml:space="preserve">Максимов Р. </t>
  </si>
  <si>
    <t>Open (03.03.2001)/17</t>
  </si>
  <si>
    <t>Зейналов Артем</t>
  </si>
  <si>
    <t>Open (23.08.1988)/30</t>
  </si>
  <si>
    <t>73,30</t>
  </si>
  <si>
    <t>Сайденцаль О.</t>
  </si>
  <si>
    <t>Никонов Федор</t>
  </si>
  <si>
    <t>Open (11.06.1993)/25</t>
  </si>
  <si>
    <t xml:space="preserve">Ходов Г. </t>
  </si>
  <si>
    <t>Библюк Роман</t>
  </si>
  <si>
    <t>Open (16.01.1986)/32</t>
  </si>
  <si>
    <t>74,10</t>
  </si>
  <si>
    <t xml:space="preserve">Кудимов В. </t>
  </si>
  <si>
    <t>10</t>
  </si>
  <si>
    <t>11</t>
  </si>
  <si>
    <t>Патрикеев Тимофей</t>
  </si>
  <si>
    <t>Open (26.07.1982)/36</t>
  </si>
  <si>
    <t>74,00</t>
  </si>
  <si>
    <t xml:space="preserve"> RUS/Железнодорожный</t>
  </si>
  <si>
    <t>12</t>
  </si>
  <si>
    <t>13</t>
  </si>
  <si>
    <t>Кондрашев Кирилл</t>
  </si>
  <si>
    <t>Open (14.01.1987)/31</t>
  </si>
  <si>
    <t xml:space="preserve"> RUS/Москва </t>
  </si>
  <si>
    <t>14</t>
  </si>
  <si>
    <t>Open (18.12.1996)/21</t>
  </si>
  <si>
    <t>Колесник Александр</t>
  </si>
  <si>
    <t>Open (20.12.1989)/28</t>
  </si>
  <si>
    <t xml:space="preserve">RUS/Мценск </t>
  </si>
  <si>
    <t xml:space="preserve">Агаджанян А. </t>
  </si>
  <si>
    <t>Гуляйко Евгений</t>
  </si>
  <si>
    <t>Masters 40-49 (17.07.1975)/43</t>
  </si>
  <si>
    <t xml:space="preserve">KAZ/Караганда </t>
  </si>
  <si>
    <t>Калинин Сергей</t>
  </si>
  <si>
    <t>Masters 40-49 (19.11.1975)/42</t>
  </si>
  <si>
    <t>Малолетнев Игорь</t>
  </si>
  <si>
    <t>Junior (22.08.1996)/22</t>
  </si>
  <si>
    <t>Медведев Сергей</t>
  </si>
  <si>
    <t>Junior (22.02.1997)/21</t>
  </si>
  <si>
    <t xml:space="preserve">bodyweightелов О. </t>
  </si>
  <si>
    <t>Abdunazarov Abduaziz</t>
  </si>
  <si>
    <t>Junior (19.05.1998)/20</t>
  </si>
  <si>
    <t>Uzbekistan</t>
  </si>
  <si>
    <t xml:space="preserve"> UZB/Ташкент</t>
  </si>
  <si>
    <t>Савельев Анатолий</t>
  </si>
  <si>
    <t>Junior (13.04.1996)/22</t>
  </si>
  <si>
    <t>80,20</t>
  </si>
  <si>
    <t>Касараев Сергей</t>
  </si>
  <si>
    <t>Open (18.02.1974)/44</t>
  </si>
  <si>
    <t>Владимиров Владимир</t>
  </si>
  <si>
    <t>Open (30.04.1993)/25</t>
  </si>
  <si>
    <t>Голубка Артем</t>
  </si>
  <si>
    <t>Open (27.08.1984)/34</t>
  </si>
  <si>
    <t>76,30</t>
  </si>
  <si>
    <t xml:space="preserve">RUS/Мытищи </t>
  </si>
  <si>
    <t>Новиков Петр</t>
  </si>
  <si>
    <t>Open (05.12.1992)/25</t>
  </si>
  <si>
    <t>81,20</t>
  </si>
  <si>
    <t>Авдонин Денис</t>
  </si>
  <si>
    <t>Open (15.09.1990)/28</t>
  </si>
  <si>
    <t xml:space="preserve">RUS/Раменское </t>
  </si>
  <si>
    <t>Прусов Александр</t>
  </si>
  <si>
    <t>Open (13.08.1985)/33</t>
  </si>
  <si>
    <t>81,00</t>
  </si>
  <si>
    <t>Моркин Антон</t>
  </si>
  <si>
    <t>Open (30.10.1979)/38</t>
  </si>
  <si>
    <t>Павлов А.</t>
  </si>
  <si>
    <t>Новиков Павел</t>
  </si>
  <si>
    <t>Open (16.10.1993)/24</t>
  </si>
  <si>
    <t>Masters 40-49 (18.02.1974)/44</t>
  </si>
  <si>
    <t>Тлеубаев Сабыр</t>
  </si>
  <si>
    <t>Masters 40-49 (15.02.1975)/43</t>
  </si>
  <si>
    <t xml:space="preserve">Мирзаев Р. </t>
  </si>
  <si>
    <t>Потапов Эдуард</t>
  </si>
  <si>
    <t>Masters 50-59 (21.01.1968)/50</t>
  </si>
  <si>
    <t>80,90</t>
  </si>
  <si>
    <t>Мосин Василий</t>
  </si>
  <si>
    <t>Masters 60-69 (09.06.1956)/62</t>
  </si>
  <si>
    <t>Серкин Илья</t>
  </si>
  <si>
    <t>Junior (14.05.1995)/23</t>
  </si>
  <si>
    <t xml:space="preserve">RUS/Армавир </t>
  </si>
  <si>
    <t>Евдокимов Игорь</t>
  </si>
  <si>
    <t>Junior (09.06.1998)/20</t>
  </si>
  <si>
    <t>86,90</t>
  </si>
  <si>
    <t>Низкопоклонный Ярослав</t>
  </si>
  <si>
    <t>Junior (29.06.1995)/23</t>
  </si>
  <si>
    <t>89,70</t>
  </si>
  <si>
    <t>Коновалов Сергей</t>
  </si>
  <si>
    <t>Open (23.05.1987)/31</t>
  </si>
  <si>
    <t xml:space="preserve">RUS/Барнаул </t>
  </si>
  <si>
    <t xml:space="preserve">Меркулов А. </t>
  </si>
  <si>
    <t>Краснов Дмитрий</t>
  </si>
  <si>
    <t>Open (26.04.1992)/26</t>
  </si>
  <si>
    <t xml:space="preserve">RUS/Вязники </t>
  </si>
  <si>
    <t>Ниязов Хуршед</t>
  </si>
  <si>
    <t>Open (28.09.1986)/32</t>
  </si>
  <si>
    <t>Свидин Андрей</t>
  </si>
  <si>
    <t>Open (01.02.1980)/38</t>
  </si>
  <si>
    <t>Неткач Максим</t>
  </si>
  <si>
    <t>Open (11.05.1977)/41</t>
  </si>
  <si>
    <t>89,90</t>
  </si>
  <si>
    <t>Воронцов Илья</t>
  </si>
  <si>
    <t>Open (07.12.1982)/35</t>
  </si>
  <si>
    <t>87,20</t>
  </si>
  <si>
    <t xml:space="preserve">Смоленков В. </t>
  </si>
  <si>
    <t>Бондаренко Илья</t>
  </si>
  <si>
    <t>Open (07.04.1981)/37</t>
  </si>
  <si>
    <t>Магомедов Мурад</t>
  </si>
  <si>
    <t>Open (17.09.1989)/29</t>
  </si>
  <si>
    <t>Суслов Н.</t>
  </si>
  <si>
    <t>Гладков Павел</t>
  </si>
  <si>
    <t>Open (18.11.1989)/28</t>
  </si>
  <si>
    <t xml:space="preserve">RUS/Красноярск </t>
  </si>
  <si>
    <t xml:space="preserve">Нечаев Е. </t>
  </si>
  <si>
    <t>Катиев Александр</t>
  </si>
  <si>
    <t>Open (27.03.1976)/42</t>
  </si>
  <si>
    <t xml:space="preserve"> KAZ/Караганда</t>
  </si>
  <si>
    <t xml:space="preserve">Гаголин А. </t>
  </si>
  <si>
    <t>Смирнов Валерий</t>
  </si>
  <si>
    <t>Open (09.08.1980)/38</t>
  </si>
  <si>
    <t>Липай Дмитрий</t>
  </si>
  <si>
    <t>Open (12.12.1990)/27</t>
  </si>
  <si>
    <t>Липай А.</t>
  </si>
  <si>
    <t>Серов Иван</t>
  </si>
  <si>
    <t>87,60</t>
  </si>
  <si>
    <t xml:space="preserve">RUS/Балашиха </t>
  </si>
  <si>
    <t xml:space="preserve">Дубинкин Р. </t>
  </si>
  <si>
    <t>15</t>
  </si>
  <si>
    <t>Полухин Антон</t>
  </si>
  <si>
    <t>Open (29.03.1990)/28</t>
  </si>
  <si>
    <t>16</t>
  </si>
  <si>
    <t>Василенко Иван</t>
  </si>
  <si>
    <t>Open (20.06.1985)/33</t>
  </si>
  <si>
    <t xml:space="preserve">RUS/Ухта </t>
  </si>
  <si>
    <t>17</t>
  </si>
  <si>
    <t>Пономарев Владимир</t>
  </si>
  <si>
    <t>Open (03.08.1981)/37</t>
  </si>
  <si>
    <t>18</t>
  </si>
  <si>
    <t>Решетник Константин</t>
  </si>
  <si>
    <t>Open (10.03.1987)/31</t>
  </si>
  <si>
    <t>19</t>
  </si>
  <si>
    <t>Фролов Павел</t>
  </si>
  <si>
    <t>Open (16.07.1990)/28</t>
  </si>
  <si>
    <t xml:space="preserve">Красильников С. </t>
  </si>
  <si>
    <t>20</t>
  </si>
  <si>
    <t>Давыдов Александр</t>
  </si>
  <si>
    <t>Open (26.04.1990)/28</t>
  </si>
  <si>
    <t xml:space="preserve">RUS/Волгоград </t>
  </si>
  <si>
    <t>21</t>
  </si>
  <si>
    <t>Ежиков Вадим</t>
  </si>
  <si>
    <t>Open (04.01.1993)/25</t>
  </si>
  <si>
    <t>84,10</t>
  </si>
  <si>
    <t>22</t>
  </si>
  <si>
    <t>Чибисов Степан</t>
  </si>
  <si>
    <t>Open (06.03.1989)/29</t>
  </si>
  <si>
    <t>Петров Дмитрий</t>
  </si>
  <si>
    <t>Open (29.01.1986)/32</t>
  </si>
  <si>
    <t>Лысенко Сергей</t>
  </si>
  <si>
    <t>Open (24.07.1992)/26</t>
  </si>
  <si>
    <t>Masters 40-49 (11.05.1977)/41</t>
  </si>
  <si>
    <t xml:space="preserve">  RUS/Волгоград</t>
  </si>
  <si>
    <t>Masters 40-49 (27.03.1976)/42</t>
  </si>
  <si>
    <t xml:space="preserve">  KAZ/Караганда</t>
  </si>
  <si>
    <t>Макитрук Владимир</t>
  </si>
  <si>
    <t>Masters 60-69 (04.12.1956)/61</t>
  </si>
  <si>
    <t xml:space="preserve">   RUS/Полярные зори</t>
  </si>
  <si>
    <t>Солдатов Владимир</t>
  </si>
  <si>
    <t>Masters 60-69 (05.06.1958)/60</t>
  </si>
  <si>
    <t>84,90</t>
  </si>
  <si>
    <t xml:space="preserve">RUS/Троицк </t>
  </si>
  <si>
    <t xml:space="preserve">Кандауров С. </t>
  </si>
  <si>
    <t>Силуянов Александр</t>
  </si>
  <si>
    <t>Masters 60-69 (23.06.1954)/64</t>
  </si>
  <si>
    <t>86,60</t>
  </si>
  <si>
    <t xml:space="preserve">   RUS/Калининград</t>
  </si>
  <si>
    <t>Сурков Вадим</t>
  </si>
  <si>
    <t>Teenagers 14-16 (30.08.2001)/17</t>
  </si>
  <si>
    <t>Агапов Д.</t>
  </si>
  <si>
    <t>Алдохин Владислав</t>
  </si>
  <si>
    <t>Teenagers 17-19 (25.11.1998)/19</t>
  </si>
  <si>
    <t>Зайцев С.</t>
  </si>
  <si>
    <t>Пак Темур</t>
  </si>
  <si>
    <t>Junior (06.11.1995)/22</t>
  </si>
  <si>
    <t xml:space="preserve">RUS/Казань </t>
  </si>
  <si>
    <t>Сорокин Семен</t>
  </si>
  <si>
    <t>Junior (19.04.1997)/21</t>
  </si>
  <si>
    <t>Евтеев Александр</t>
  </si>
  <si>
    <t>Junior (23.09.1997)/21</t>
  </si>
  <si>
    <t xml:space="preserve">   RUS/Электросталь</t>
  </si>
  <si>
    <t>Калягин Александр</t>
  </si>
  <si>
    <t>Open (12.06.1983)/35</t>
  </si>
  <si>
    <t xml:space="preserve">Панфёрова М. </t>
  </si>
  <si>
    <t>Леонтьев Алексей</t>
  </si>
  <si>
    <t>Open (18.02.1987)/31</t>
  </si>
  <si>
    <t>Нелаев Сергей</t>
  </si>
  <si>
    <t>Open (01.03.1982)/36</t>
  </si>
  <si>
    <t>99,50</t>
  </si>
  <si>
    <t xml:space="preserve">   RUS/Великий Устюг</t>
  </si>
  <si>
    <t xml:space="preserve">Рассохин А. </t>
  </si>
  <si>
    <t>Чарльз Кэйсон Ленс</t>
  </si>
  <si>
    <t>Open (25.12.1992)/25</t>
  </si>
  <si>
    <t>Australia</t>
  </si>
  <si>
    <t xml:space="preserve"> AUS/Saint George</t>
  </si>
  <si>
    <t>Ишин Андрей</t>
  </si>
  <si>
    <t>Open (24.05.1988)/30</t>
  </si>
  <si>
    <t>Плотников Герман</t>
  </si>
  <si>
    <t>Open (08.05.1976)/42</t>
  </si>
  <si>
    <t>96,70</t>
  </si>
  <si>
    <t xml:space="preserve">Кучин И. </t>
  </si>
  <si>
    <t>Белышев Артём</t>
  </si>
  <si>
    <t>Open (15.02.1991)/27</t>
  </si>
  <si>
    <t>93,90</t>
  </si>
  <si>
    <t>Сидорин Сергей</t>
  </si>
  <si>
    <t>Open (14.01.1990)/28</t>
  </si>
  <si>
    <t>Динека Александр</t>
  </si>
  <si>
    <t>Open (12.09.1985)/33</t>
  </si>
  <si>
    <t>97,30</t>
  </si>
  <si>
    <t>Украинцев Р.</t>
  </si>
  <si>
    <t>Гетьман Денис</t>
  </si>
  <si>
    <t>Open (24.12.1986)/31</t>
  </si>
  <si>
    <t>97,40</t>
  </si>
  <si>
    <t>Курсков Никита</t>
  </si>
  <si>
    <t>Open (08.06.1992)/26</t>
  </si>
  <si>
    <t xml:space="preserve">RUS/Навашино </t>
  </si>
  <si>
    <t>Ишин А.</t>
  </si>
  <si>
    <t>Мякишев Сергей</t>
  </si>
  <si>
    <t>Masters 40-49 (15.09.1977)/41</t>
  </si>
  <si>
    <t>97,00</t>
  </si>
  <si>
    <t xml:space="preserve">Цой Ю. </t>
  </si>
  <si>
    <t>Григорьев Андрей</t>
  </si>
  <si>
    <t>Masters 40-49 (05.03.1975)/43</t>
  </si>
  <si>
    <t xml:space="preserve">Григорьева Т. </t>
  </si>
  <si>
    <t>Дымов Александр</t>
  </si>
  <si>
    <t>Masters 40-49 (13.08.1973)/45</t>
  </si>
  <si>
    <t>92,80</t>
  </si>
  <si>
    <t xml:space="preserve">RUS/Ногинск </t>
  </si>
  <si>
    <t>Мельяновский Александр</t>
  </si>
  <si>
    <t>Masters 40-49 (05.04.1978)/40</t>
  </si>
  <si>
    <t>92,10</t>
  </si>
  <si>
    <t>Masters 40-49 (08.05.1976)/42</t>
  </si>
  <si>
    <t>Розмирец Руслан</t>
  </si>
  <si>
    <t>Masters 40-49 (26.08.1976)/42</t>
  </si>
  <si>
    <t>Климанов Игорь</t>
  </si>
  <si>
    <t>Masters 40-49 (30.07.1974)/44</t>
  </si>
  <si>
    <t>Russia/Team МАИ</t>
  </si>
  <si>
    <t xml:space="preserve">Панферова М., Коротков М. </t>
  </si>
  <si>
    <t>Почечуй Дмитрий</t>
  </si>
  <si>
    <t>Masters 40-49 (24.10.1976)/41</t>
  </si>
  <si>
    <t>97,50</t>
  </si>
  <si>
    <t xml:space="preserve"> RUS/Владимир</t>
  </si>
  <si>
    <t>Сидоренко Петр</t>
  </si>
  <si>
    <t>Masters 50-59 (12.07.1967)/51</t>
  </si>
  <si>
    <t xml:space="preserve">RUS/Сургут </t>
  </si>
  <si>
    <t>Васильев Валерий</t>
  </si>
  <si>
    <t>Masters 70-79 (19.09.1947)/71</t>
  </si>
  <si>
    <t>Смирнов Вадим</t>
  </si>
  <si>
    <t>Мистратов В.</t>
  </si>
  <si>
    <t>Бахмудов Магомедэмин</t>
  </si>
  <si>
    <t>Open (17.02.1989)/29</t>
  </si>
  <si>
    <t>106,40</t>
  </si>
  <si>
    <t>Коблик Дмитрий</t>
  </si>
  <si>
    <t>Open (20.08.1993)/25</t>
  </si>
  <si>
    <t>109,60</t>
  </si>
  <si>
    <t>Джочаев Алимсолтан</t>
  </si>
  <si>
    <t>Open (04.02.1991)/27</t>
  </si>
  <si>
    <t xml:space="preserve">Шавкунов Е. </t>
  </si>
  <si>
    <t>Луценко Андрей</t>
  </si>
  <si>
    <t>Open (20.12.1991)/26</t>
  </si>
  <si>
    <t>101,30</t>
  </si>
  <si>
    <t xml:space="preserve">RUS/Евпатория </t>
  </si>
  <si>
    <t>Сарычев К.</t>
  </si>
  <si>
    <t>Дроздов Игорь</t>
  </si>
  <si>
    <t>Masters 40-49 (14.02.1977)/41</t>
  </si>
  <si>
    <t>RUS/Белгород</t>
  </si>
  <si>
    <t>Нерубенко А.</t>
  </si>
  <si>
    <t>Захрямин Николай</t>
  </si>
  <si>
    <t>Masters 40-49 (09.12.1976)/41</t>
  </si>
  <si>
    <t>109,40</t>
  </si>
  <si>
    <t>Лазарев Александр</t>
  </si>
  <si>
    <t>Masters 40-49 (08.08.1975)/43</t>
  </si>
  <si>
    <t>106,70</t>
  </si>
  <si>
    <t>Кириченко Сергей</t>
  </si>
  <si>
    <t>Masters 50-59 (24.02.1968)/50</t>
  </si>
  <si>
    <t>109,10</t>
  </si>
  <si>
    <t xml:space="preserve">Пронин Е. </t>
  </si>
  <si>
    <t>Киселев Андрей</t>
  </si>
  <si>
    <t>Junior (17.08.1995)/23</t>
  </si>
  <si>
    <t>111,70</t>
  </si>
  <si>
    <t>Иванов Дмитрий</t>
  </si>
  <si>
    <t>Open (16.07.1993)/25</t>
  </si>
  <si>
    <t>110,90</t>
  </si>
  <si>
    <t xml:space="preserve"> RUS/Первомайский</t>
  </si>
  <si>
    <t>Решетников Артем</t>
  </si>
  <si>
    <t>Open (08.06.1989)/29</t>
  </si>
  <si>
    <t>115,60</t>
  </si>
  <si>
    <t>Колохин П.</t>
  </si>
  <si>
    <t>Госман Дмитрий</t>
  </si>
  <si>
    <t>Open (22.05.1993)/25</t>
  </si>
  <si>
    <t>123,00</t>
  </si>
  <si>
    <t>Новожилов Владимир</t>
  </si>
  <si>
    <t>Open (10.09.1989)/29</t>
  </si>
  <si>
    <t>110,50</t>
  </si>
  <si>
    <t>Ларин Олег</t>
  </si>
  <si>
    <t>Open (21.11.1986)/31</t>
  </si>
  <si>
    <t>110,70</t>
  </si>
  <si>
    <t xml:space="preserve">RUS/Нижневартовск </t>
  </si>
  <si>
    <t>Богомолов Игорь</t>
  </si>
  <si>
    <t>Open (09.06.1988)/30</t>
  </si>
  <si>
    <t>121,10</t>
  </si>
  <si>
    <t xml:space="preserve">RUS/Юрьев-Польский </t>
  </si>
  <si>
    <t>Малышев Александр</t>
  </si>
  <si>
    <t>Open (27.02.1981)/37</t>
  </si>
  <si>
    <t>122,20</t>
  </si>
  <si>
    <t>Даниелян С.</t>
  </si>
  <si>
    <t>Гордяков Юрий</t>
  </si>
  <si>
    <t>Masters 40-49 (27.04.1976)/42</t>
  </si>
  <si>
    <t>Бекенев Николай</t>
  </si>
  <si>
    <t>Masters 40-49 (19.05.1977)/41</t>
  </si>
  <si>
    <t>115,80</t>
  </si>
  <si>
    <t>Бабин Евгений</t>
  </si>
  <si>
    <t>Masters 40-49 (17.04.1971)/47</t>
  </si>
  <si>
    <t>119,80</t>
  </si>
  <si>
    <t xml:space="preserve">Петров С. </t>
  </si>
  <si>
    <t>Чубаров Владимир</t>
  </si>
  <si>
    <t>Masters 50-59 (03.04.1964)/54</t>
  </si>
  <si>
    <t>125,00</t>
  </si>
  <si>
    <t>Суворов Юрий</t>
  </si>
  <si>
    <t>Masters 50-59 (22.11.1965)/52</t>
  </si>
  <si>
    <t>114,60</t>
  </si>
  <si>
    <t xml:space="preserve">RUS/Будённовск </t>
  </si>
  <si>
    <t xml:space="preserve">Крылов М. </t>
  </si>
  <si>
    <t>Жерелов Алексей</t>
  </si>
  <si>
    <t>Open (16.09.1990)/28</t>
  </si>
  <si>
    <t>134,90</t>
  </si>
  <si>
    <t xml:space="preserve">RUS/Кинешма </t>
  </si>
  <si>
    <t>Шаульский Виталий</t>
  </si>
  <si>
    <t>Masters 40-49 (02.06.1973)/45</t>
  </si>
  <si>
    <t>130,10</t>
  </si>
  <si>
    <t xml:space="preserve">RUS/Азов </t>
  </si>
  <si>
    <t xml:space="preserve">Дикий А. </t>
  </si>
  <si>
    <t>Панченко Анатолий</t>
  </si>
  <si>
    <t>Masters 40-49 (07.11.1973)/44</t>
  </si>
  <si>
    <t>131,70</t>
  </si>
  <si>
    <t xml:space="preserve">Некиферов А. </t>
  </si>
  <si>
    <t>Лазарев Сергей</t>
  </si>
  <si>
    <t>Masters 50-59 (04.04.1960)/58</t>
  </si>
  <si>
    <t>136,10</t>
  </si>
  <si>
    <t xml:space="preserve"> RUS/Екатеринбург</t>
  </si>
  <si>
    <t>Трофимов Борис</t>
  </si>
  <si>
    <t>Open (21.03.1972)/46</t>
  </si>
  <si>
    <t>153,30</t>
  </si>
  <si>
    <t xml:space="preserve">RUS/Гуково </t>
  </si>
  <si>
    <t>Masters 40-49 (21.03.1972)/46</t>
  </si>
  <si>
    <t>103,9550</t>
  </si>
  <si>
    <t>82,9327</t>
  </si>
  <si>
    <t xml:space="preserve">Teenagers 14-16 </t>
  </si>
  <si>
    <t>78,5247</t>
  </si>
  <si>
    <t>91,7320</t>
  </si>
  <si>
    <t>91,3282</t>
  </si>
  <si>
    <t>90,6000</t>
  </si>
  <si>
    <t>109,0650</t>
  </si>
  <si>
    <t>104,3120</t>
  </si>
  <si>
    <t>93,0465</t>
  </si>
  <si>
    <t>119,5880</t>
  </si>
  <si>
    <t>112,6280</t>
  </si>
  <si>
    <t>112,4900</t>
  </si>
  <si>
    <t>133,4750</t>
  </si>
  <si>
    <t>140+</t>
  </si>
  <si>
    <t>132,3840</t>
  </si>
  <si>
    <t>128,4840</t>
  </si>
  <si>
    <t>149,7409</t>
  </si>
  <si>
    <t>142,7099</t>
  </si>
  <si>
    <t>139,4414</t>
  </si>
  <si>
    <t>25,0</t>
  </si>
  <si>
    <t>30,0</t>
  </si>
  <si>
    <t>Гаголин Александр</t>
  </si>
  <si>
    <t>Open (01.07.1987)/31</t>
  </si>
  <si>
    <t>Рудик Вячеслав</t>
  </si>
  <si>
    <t>Open (16.10.1986)/31</t>
  </si>
  <si>
    <t>71,50</t>
  </si>
  <si>
    <t xml:space="preserve">RUS/Северодвинск </t>
  </si>
  <si>
    <t xml:space="preserve">Кузин Г. </t>
  </si>
  <si>
    <t>Моор Альберт</t>
  </si>
  <si>
    <t xml:space="preserve">Шевченко А. </t>
  </si>
  <si>
    <t>Булендин Болат</t>
  </si>
  <si>
    <t>Open (05.05.1986)/32</t>
  </si>
  <si>
    <t xml:space="preserve"> KAZ/Караганда </t>
  </si>
  <si>
    <t>Коротченко Евгений</t>
  </si>
  <si>
    <t>Junior (03.04.1996)/22</t>
  </si>
  <si>
    <t xml:space="preserve">RUS/Салават </t>
  </si>
  <si>
    <t>88,60</t>
  </si>
  <si>
    <t>Чернявский Виталий</t>
  </si>
  <si>
    <t xml:space="preserve">RUS/Ржев </t>
  </si>
  <si>
    <t>Антонов Владислав</t>
  </si>
  <si>
    <t>Open (30.09.1991)/27</t>
  </si>
  <si>
    <t xml:space="preserve">Фотин А. </t>
  </si>
  <si>
    <t>92,50</t>
  </si>
  <si>
    <t>100,00</t>
  </si>
  <si>
    <t>Цуцкиридзе Нодар</t>
  </si>
  <si>
    <t>Афонин Сергей</t>
  </si>
  <si>
    <t>Антонов Эдуард</t>
  </si>
  <si>
    <t>Junior (27.02.1995)/23</t>
  </si>
  <si>
    <t>105,20</t>
  </si>
  <si>
    <t xml:space="preserve">Антонов В. </t>
  </si>
  <si>
    <t>Васильев Виктор</t>
  </si>
  <si>
    <t>105,60</t>
  </si>
  <si>
    <t>Расторгуев Олег</t>
  </si>
  <si>
    <t>Open (08.08.1973)/45</t>
  </si>
  <si>
    <t>Попов Александр</t>
  </si>
  <si>
    <t>Open (14.05.1983)/35</t>
  </si>
  <si>
    <t>120,00</t>
  </si>
  <si>
    <t>RUS/Нижневартовск</t>
  </si>
  <si>
    <t xml:space="preserve">  RUS/Сызрань</t>
  </si>
  <si>
    <t>Gloss</t>
  </si>
  <si>
    <t>74,75</t>
  </si>
  <si>
    <t>Open (21.01.1968)/50</t>
  </si>
  <si>
    <t>88,45</t>
  </si>
  <si>
    <t>Чередин Владимир</t>
  </si>
  <si>
    <t>Open (30.01.1971)/47</t>
  </si>
  <si>
    <t xml:space="preserve">BLR/Мозырь </t>
  </si>
  <si>
    <t xml:space="preserve">Залуцкий Р. </t>
  </si>
  <si>
    <t xml:space="preserve">Gloss </t>
  </si>
  <si>
    <t>74,45</t>
  </si>
  <si>
    <t>Мухин Владислав</t>
  </si>
  <si>
    <t>Open (01.03.1983)/35</t>
  </si>
  <si>
    <t>Open (10.10.1972)/45</t>
  </si>
  <si>
    <t xml:space="preserve">  KAZ/Караганда </t>
  </si>
  <si>
    <t>91,20</t>
  </si>
  <si>
    <t>Open (31.05.1991)/27</t>
  </si>
  <si>
    <t>WRPF World Championship
WRPF Multi repeat Bench Press (with own bodyweight) with doping-control
Russia / Moscow, October 04-06, 2018</t>
  </si>
  <si>
    <t>BP multi repear</t>
  </si>
  <si>
    <t>Tonnage</t>
  </si>
  <si>
    <t>Bodyweight</t>
  </si>
  <si>
    <t>Repeats</t>
  </si>
  <si>
    <t>Masters 40 - 49 (19.01.1974)/44</t>
  </si>
  <si>
    <t>Вирабян Аарон</t>
  </si>
  <si>
    <t>Junior (13.05.1995)/23</t>
  </si>
  <si>
    <t xml:space="preserve">ARM/Ереван </t>
  </si>
  <si>
    <t>66,95</t>
  </si>
  <si>
    <t>Радевский Ярослав</t>
  </si>
  <si>
    <t>Open (05.06.1992)/26</t>
  </si>
  <si>
    <t xml:space="preserve">RUS/Ростов </t>
  </si>
  <si>
    <t xml:space="preserve">Емелин А. </t>
  </si>
  <si>
    <t>Open (18.04.1962)/56</t>
  </si>
  <si>
    <t>67,35</t>
  </si>
  <si>
    <t>Masters 50 - 59 (11.06.1967)/51</t>
  </si>
  <si>
    <t>Masters 50 - 59 (18.04.1962)/56</t>
  </si>
  <si>
    <t>Абдурахманов Заур</t>
  </si>
  <si>
    <t>Open (24.06.1990)/28</t>
  </si>
  <si>
    <t>RUS/Алкадар</t>
  </si>
  <si>
    <t>Фролов Андрей</t>
  </si>
  <si>
    <t>Open (26.02.1982)/36</t>
  </si>
  <si>
    <t>Кутергин Д.</t>
  </si>
  <si>
    <t>Masters 40 - 49 (19.11.1975)/42</t>
  </si>
  <si>
    <t>Masters 40 - 49 (17.07.1975)/43</t>
  </si>
  <si>
    <t>Филатов Николай</t>
  </si>
  <si>
    <t>Masters 40 - 49 (01.03.1977)/41</t>
  </si>
  <si>
    <t>Зайцев Александр</t>
  </si>
  <si>
    <t>Open (20.05.1987)/31</t>
  </si>
  <si>
    <t>77,15</t>
  </si>
  <si>
    <t>RUS/Солнечногорск</t>
  </si>
  <si>
    <t>Зайцев В.</t>
  </si>
  <si>
    <t>79,55</t>
  </si>
  <si>
    <t>Попятов Вадим</t>
  </si>
  <si>
    <t>Open (06.07.1981)/37</t>
  </si>
  <si>
    <t>Таран Евгений</t>
  </si>
  <si>
    <t>Open (13.06.1986)/32</t>
  </si>
  <si>
    <t>79,95</t>
  </si>
  <si>
    <t>Masters 40 - 49 (18.02.1974)/44</t>
  </si>
  <si>
    <t>Masters 50 - 59 (21.01.1968)/50</t>
  </si>
  <si>
    <t>Лисачев Павел</t>
  </si>
  <si>
    <t>Open (29.11.1979)/38</t>
  </si>
  <si>
    <t>87,15</t>
  </si>
  <si>
    <t>Masters 40 - 49 (27.03.1976)/42</t>
  </si>
  <si>
    <t>Masters 60+ (29.08.1944)/74</t>
  </si>
  <si>
    <t>Тафара Стефан</t>
  </si>
  <si>
    <t>Open (21.08.1986)/32</t>
  </si>
  <si>
    <t xml:space="preserve"> RUS/Великий Устюг</t>
  </si>
  <si>
    <t>Masters 40 - 49 (08.05.1976)/42</t>
  </si>
  <si>
    <t>96,65</t>
  </si>
  <si>
    <t>Masters 40 - 49 (03.05.1975)/43</t>
  </si>
  <si>
    <t>Masters 50 - 59 (24.02.1968)/50</t>
  </si>
  <si>
    <t>Беляев Дмитрий</t>
  </si>
  <si>
    <t>Open (12.06.1984)/34</t>
  </si>
  <si>
    <t>111,40</t>
  </si>
  <si>
    <t>Савин Руслан</t>
  </si>
  <si>
    <t>Open (26.12.1978)/39</t>
  </si>
  <si>
    <t>125,60</t>
  </si>
  <si>
    <t xml:space="preserve">Никитин С. </t>
  </si>
  <si>
    <t>Аветисян Карэн</t>
  </si>
  <si>
    <t>Open (24.01.1989)/29</t>
  </si>
  <si>
    <t>126,00</t>
  </si>
  <si>
    <t xml:space="preserve">Аветисян Б. </t>
  </si>
  <si>
    <t>Филин Михаил</t>
  </si>
  <si>
    <t>Masters 50 - 59 (17.11.1961)/56</t>
  </si>
  <si>
    <t>143,10</t>
  </si>
  <si>
    <t>3375,0</t>
  </si>
  <si>
    <t>2335,3313</t>
  </si>
  <si>
    <t>2970,0</t>
  </si>
  <si>
    <t>2238,3405</t>
  </si>
  <si>
    <t>3885,0</t>
  </si>
  <si>
    <t>2216,9752</t>
  </si>
  <si>
    <t xml:space="preserve">Masters 50 - 59 </t>
  </si>
  <si>
    <t>2567,3766</t>
  </si>
  <si>
    <t xml:space="preserve">Masters 40 - 49 </t>
  </si>
  <si>
    <t>3382,5</t>
  </si>
  <si>
    <t>2286,8155</t>
  </si>
  <si>
    <t>2295,0</t>
  </si>
  <si>
    <t>2144,2485</t>
  </si>
  <si>
    <t>WRPF World Championship
WRPF Multi repeat Bench Press (with own bodyweight)
Russia / Moscow, October 04-06, 2018</t>
  </si>
  <si>
    <t>bodyweight</t>
  </si>
  <si>
    <t>Лычаный Никита</t>
  </si>
  <si>
    <t>Open (07.11.1993)/24</t>
  </si>
  <si>
    <t xml:space="preserve"> UKR/Артемовск</t>
  </si>
  <si>
    <t>46,0</t>
  </si>
  <si>
    <t>Лычаный С.</t>
  </si>
  <si>
    <t>Зиннатуллин Рустам</t>
  </si>
  <si>
    <t>64,20</t>
  </si>
  <si>
    <t>52,0</t>
  </si>
  <si>
    <t>42,0</t>
  </si>
  <si>
    <t>Кочубей Антон</t>
  </si>
  <si>
    <t>Open (21.12.1988)/29</t>
  </si>
  <si>
    <t>74,85</t>
  </si>
  <si>
    <t>36,0</t>
  </si>
  <si>
    <t>16,0</t>
  </si>
  <si>
    <t>Алхазов Радмир</t>
  </si>
  <si>
    <t>Junior (01.12.1996)/21</t>
  </si>
  <si>
    <t>81,90</t>
  </si>
  <si>
    <t xml:space="preserve"> RUS/Карачаевск</t>
  </si>
  <si>
    <t>15,0</t>
  </si>
  <si>
    <t>Алхазов А.</t>
  </si>
  <si>
    <t>Суший Илья</t>
  </si>
  <si>
    <t>Open (20.08.1984)/34</t>
  </si>
  <si>
    <t>79,30</t>
  </si>
  <si>
    <t xml:space="preserve">RUS/Северск </t>
  </si>
  <si>
    <t>56,0</t>
  </si>
  <si>
    <t>34,0</t>
  </si>
  <si>
    <t>Калинин Пётр</t>
  </si>
  <si>
    <t>Open (08.02.1994)/24</t>
  </si>
  <si>
    <t>82,35</t>
  </si>
  <si>
    <t xml:space="preserve">RUS/Чистополь </t>
  </si>
  <si>
    <t>19,0</t>
  </si>
  <si>
    <t>Гапоненко Арсений</t>
  </si>
  <si>
    <t>85,70</t>
  </si>
  <si>
    <t>Галицин Геннадий</t>
  </si>
  <si>
    <t>Open (15.04.1985)/33</t>
  </si>
  <si>
    <t>41,0</t>
  </si>
  <si>
    <t>29,0</t>
  </si>
  <si>
    <t>Богданович Александр</t>
  </si>
  <si>
    <t>Open (15.06.1983)/35</t>
  </si>
  <si>
    <t>24,0</t>
  </si>
  <si>
    <t>Богданович В.</t>
  </si>
  <si>
    <t>Masters 40 - 49 (10.10.1972)/45</t>
  </si>
  <si>
    <t>Королев Михаил</t>
  </si>
  <si>
    <t>Masters 50 - 59 (16.01.1968)/50</t>
  </si>
  <si>
    <t>85,35</t>
  </si>
  <si>
    <t xml:space="preserve">RUS/Можайск </t>
  </si>
  <si>
    <t>Молдованов Максим</t>
  </si>
  <si>
    <t>Teenagers 13 - 19 (22.10.1998)/19</t>
  </si>
  <si>
    <t>90,80</t>
  </si>
  <si>
    <t>31,0</t>
  </si>
  <si>
    <t>Волков Александр</t>
  </si>
  <si>
    <t>Open (08.08.1986)/32</t>
  </si>
  <si>
    <t>32,0</t>
  </si>
  <si>
    <t>Чередниченко Александр</t>
  </si>
  <si>
    <t>Open (18.09.1975)/43</t>
  </si>
  <si>
    <t>Masters 40 - 49 (18.09.1975)/43</t>
  </si>
  <si>
    <t>Masters 40 - 49 (14.09.1976)/42</t>
  </si>
  <si>
    <t>99,75</t>
  </si>
  <si>
    <t>Masters 40 - 49 (01.09.1974)/44</t>
  </si>
  <si>
    <t>Бардин Владимир</t>
  </si>
  <si>
    <t>Open (13.01.1985)/33</t>
  </si>
  <si>
    <t>101,90</t>
  </si>
  <si>
    <t xml:space="preserve">RUS/Орехово-Зуево </t>
  </si>
  <si>
    <t>Сорокин Станислав</t>
  </si>
  <si>
    <t>Open (09.04.1988)/30</t>
  </si>
  <si>
    <t>105,90</t>
  </si>
  <si>
    <t>38,0</t>
  </si>
  <si>
    <t>Тулин Денис</t>
  </si>
  <si>
    <t>Open (13.02.1983)/35</t>
  </si>
  <si>
    <t>110,00</t>
  </si>
  <si>
    <t>26,0</t>
  </si>
  <si>
    <t>Бех Константин</t>
  </si>
  <si>
    <t>Open (16.10.1982)/35</t>
  </si>
  <si>
    <t>100,10</t>
  </si>
  <si>
    <t xml:space="preserve">Габанова М. </t>
  </si>
  <si>
    <t>21,0</t>
  </si>
  <si>
    <t>Masters 60+ (09.02.1954)/64</t>
  </si>
  <si>
    <t>RUS/калининград</t>
  </si>
  <si>
    <t>39,0</t>
  </si>
  <si>
    <t>Милантьев Сергей</t>
  </si>
  <si>
    <t>Open (19.10.1981)/36</t>
  </si>
  <si>
    <t>110,10</t>
  </si>
  <si>
    <t>Хилевич Виталий</t>
  </si>
  <si>
    <t>Open (17.07.1985)/33</t>
  </si>
  <si>
    <t>112,20</t>
  </si>
  <si>
    <t xml:space="preserve">BLR/Барановичи </t>
  </si>
  <si>
    <t>Денисов Сергей</t>
  </si>
  <si>
    <t>Open (07.05.1982)/36</t>
  </si>
  <si>
    <t>112,50</t>
  </si>
  <si>
    <t>Masters 40 - 49 (08.08.1973)/45</t>
  </si>
  <si>
    <t>4480,0</t>
  </si>
  <si>
    <t>2964,6401</t>
  </si>
  <si>
    <t>4550,0</t>
  </si>
  <si>
    <t>2863,9976</t>
  </si>
  <si>
    <t>3900,0</t>
  </si>
  <si>
    <t>2693,3399</t>
  </si>
  <si>
    <t>3250,0</t>
  </si>
  <si>
    <t>1878,6122</t>
  </si>
  <si>
    <t>3022,5</t>
  </si>
  <si>
    <t>1838,7903</t>
  </si>
  <si>
    <t>2900,0</t>
  </si>
  <si>
    <t>1721,3341</t>
  </si>
  <si>
    <t>WRPF World Championship
WRPF Multi repeat Bench Press (with 1/2 own bodyweight) with doping-control
Russia / Moscow, October 04-06, 2018</t>
  </si>
  <si>
    <t>Teenagers 13 - 19 (30.10.2003)/14</t>
  </si>
  <si>
    <t>Teenagers 13 - 19 (31.03.1999)/19</t>
  </si>
  <si>
    <t>72,35</t>
  </si>
  <si>
    <t>Teenagers 13 - 19 (15.05.2002)/16</t>
  </si>
  <si>
    <t>Teenagers 13 - 19 (28.12.2000)/17</t>
  </si>
  <si>
    <t>Лубков Николай</t>
  </si>
  <si>
    <t>Masters 50 - 59 (10.09.1959)/59</t>
  </si>
  <si>
    <t>81,75</t>
  </si>
  <si>
    <t>Светанков Михаил</t>
  </si>
  <si>
    <t>Teenagers 13 - 19 (05.05.2000)/18</t>
  </si>
  <si>
    <t>84,65</t>
  </si>
  <si>
    <t xml:space="preserve">RUS/Кулебаки </t>
  </si>
  <si>
    <t>WRPF World Championship
WRPF Multi repeat Bench Press (with 1/2 own bodyweight)
Russia / Moscow, October 04-06, 2018</t>
  </si>
  <si>
    <t>Балашова Елена</t>
  </si>
  <si>
    <t>Open (01.09.1979)/39</t>
  </si>
  <si>
    <t>58,60</t>
  </si>
  <si>
    <t>Masters 60+ (03.07.1950)/68</t>
  </si>
  <si>
    <t>Козлов Валентин</t>
  </si>
  <si>
    <t>Masters 60+ (08.08.1943)/75</t>
  </si>
  <si>
    <t>77,05</t>
  </si>
  <si>
    <t>Беляев Олег</t>
  </si>
  <si>
    <t>Masters 60+ (25.11.1944)/73</t>
  </si>
  <si>
    <t>Моshalova Nadezhda</t>
  </si>
  <si>
    <t>Pavlenko Veronica</t>
  </si>
  <si>
    <t>Polinskaya Ksenia</t>
  </si>
  <si>
    <t>Aleksandrova Oksana</t>
  </si>
  <si>
    <t>Barkunova Anastasiya</t>
  </si>
  <si>
    <t>Tarasova Valentina</t>
  </si>
  <si>
    <t>Gunaza Yuliya</t>
  </si>
  <si>
    <t>Karnaushkina Irina</t>
  </si>
  <si>
    <t>Spilinay Vitalya</t>
  </si>
  <si>
    <t>Babanova Ekaterina</t>
  </si>
  <si>
    <t>Korobkova Olga</t>
  </si>
  <si>
    <t>Pantaleva Elena</t>
  </si>
  <si>
    <t>Totorkunova Laura</t>
  </si>
  <si>
    <t>Rayanova Alina</t>
  </si>
  <si>
    <t>Zhvakina Diana</t>
  </si>
  <si>
    <t>Shmeleva Anna</t>
  </si>
  <si>
    <t>Ivanova Mariya</t>
  </si>
  <si>
    <t>Zvereva Natalia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</si>
</sst>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zoomScalePageLayoutView="0" workbookViewId="0" topLeftCell="A13">
      <selection activeCell="B34" sqref="B34"/>
    </sheetView>
  </sheetViews>
  <sheetFormatPr defaultColWidth="9.125" defaultRowHeight="12.75"/>
  <cols>
    <col min="1" max="1" width="6.75390625" style="7" bestFit="1" customWidth="1"/>
    <col min="2" max="2" width="22.875" style="6" bestFit="1" customWidth="1"/>
    <col min="3" max="3" width="27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19.875" style="6" bestFit="1" customWidth="1"/>
    <col min="8" max="11" width="5.25390625" style="7" bestFit="1" customWidth="1"/>
    <col min="12" max="12" width="10.875" style="7" bestFit="1" customWidth="1"/>
    <col min="13" max="13" width="8.25390625" style="7" bestFit="1" customWidth="1"/>
    <col min="14" max="14" width="31.25390625" style="6" bestFit="1" customWidth="1"/>
    <col min="15" max="16384" width="9.125" style="3" customWidth="1"/>
  </cols>
  <sheetData>
    <row r="1" spans="1:14" s="2" customFormat="1" ht="28.5" customHeight="1">
      <c r="A1" s="55" t="s">
        <v>380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1" customFormat="1" ht="12.75" customHeight="1">
      <c r="A3" s="62" t="s">
        <v>0</v>
      </c>
      <c r="B3" s="67" t="s">
        <v>1</v>
      </c>
      <c r="C3" s="64" t="s">
        <v>2</v>
      </c>
      <c r="D3" s="64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/>
      <c r="J3" s="66"/>
      <c r="K3" s="66"/>
      <c r="L3" s="66" t="s">
        <v>381</v>
      </c>
      <c r="M3" s="66" t="s">
        <v>8</v>
      </c>
      <c r="N3" s="52" t="s">
        <v>9</v>
      </c>
    </row>
    <row r="4" spans="1:14" s="1" customFormat="1" ht="21" customHeight="1" thickBot="1">
      <c r="A4" s="63"/>
      <c r="B4" s="68"/>
      <c r="C4" s="65"/>
      <c r="D4" s="65"/>
      <c r="E4" s="65"/>
      <c r="F4" s="65"/>
      <c r="G4" s="65"/>
      <c r="H4" s="4">
        <v>1</v>
      </c>
      <c r="I4" s="4">
        <v>2</v>
      </c>
      <c r="J4" s="4">
        <v>3</v>
      </c>
      <c r="K4" s="4" t="s">
        <v>10</v>
      </c>
      <c r="L4" s="65"/>
      <c r="M4" s="65"/>
      <c r="N4" s="53"/>
    </row>
    <row r="5" spans="1:13" ht="15">
      <c r="A5" s="54" t="s">
        <v>11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12.75">
      <c r="A6" s="23" t="s">
        <v>23</v>
      </c>
      <c r="B6" s="20" t="s">
        <v>1194</v>
      </c>
      <c r="C6" s="20" t="s">
        <v>382</v>
      </c>
      <c r="D6" s="20" t="s">
        <v>383</v>
      </c>
      <c r="E6" s="20" t="str">
        <f>"1,4660"</f>
        <v>1,4660</v>
      </c>
      <c r="F6" s="20" t="s">
        <v>13</v>
      </c>
      <c r="G6" s="20" t="s">
        <v>14</v>
      </c>
      <c r="H6" s="21" t="s">
        <v>18</v>
      </c>
      <c r="I6" s="21" t="s">
        <v>19</v>
      </c>
      <c r="J6" s="22" t="s">
        <v>41</v>
      </c>
      <c r="K6" s="23"/>
      <c r="L6" s="23" t="str">
        <f>"50,0"</f>
        <v>50,0</v>
      </c>
      <c r="M6" s="23" t="str">
        <f>"73,3000"</f>
        <v>73,3000</v>
      </c>
      <c r="N6" s="20" t="s">
        <v>384</v>
      </c>
    </row>
    <row r="7" ht="12.75">
      <c r="B7" s="6" t="s">
        <v>21</v>
      </c>
    </row>
    <row r="8" spans="1:13" ht="15">
      <c r="A8" s="51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4" ht="12.75">
      <c r="A9" s="11" t="s">
        <v>23</v>
      </c>
      <c r="B9" s="8" t="s">
        <v>1195</v>
      </c>
      <c r="C9" s="8" t="s">
        <v>248</v>
      </c>
      <c r="D9" s="8" t="s">
        <v>249</v>
      </c>
      <c r="E9" s="8" t="str">
        <f>"1,3326"</f>
        <v>1,3326</v>
      </c>
      <c r="F9" s="8" t="s">
        <v>13</v>
      </c>
      <c r="G9" s="8" t="s">
        <v>38</v>
      </c>
      <c r="H9" s="10" t="s">
        <v>41</v>
      </c>
      <c r="I9" s="9" t="s">
        <v>41</v>
      </c>
      <c r="J9" s="9" t="s">
        <v>42</v>
      </c>
      <c r="K9" s="11"/>
      <c r="L9" s="11" t="str">
        <f>"55,0"</f>
        <v>55,0</v>
      </c>
      <c r="M9" s="11" t="str">
        <f>"73,2930"</f>
        <v>73,2930</v>
      </c>
      <c r="N9" s="8" t="s">
        <v>46</v>
      </c>
    </row>
    <row r="10" spans="1:14" ht="12.75">
      <c r="A10" s="15" t="s">
        <v>23</v>
      </c>
      <c r="B10" s="12" t="s">
        <v>1196</v>
      </c>
      <c r="C10" s="12" t="s">
        <v>250</v>
      </c>
      <c r="D10" s="12" t="s">
        <v>251</v>
      </c>
      <c r="E10" s="12" t="str">
        <f>"1,3244"</f>
        <v>1,3244</v>
      </c>
      <c r="F10" s="12" t="s">
        <v>37</v>
      </c>
      <c r="G10" s="12" t="s">
        <v>38</v>
      </c>
      <c r="H10" s="14" t="s">
        <v>42</v>
      </c>
      <c r="I10" s="14" t="s">
        <v>50</v>
      </c>
      <c r="J10" s="14" t="s">
        <v>66</v>
      </c>
      <c r="K10" s="15"/>
      <c r="L10" s="15" t="str">
        <f>"62,5"</f>
        <v>62,5</v>
      </c>
      <c r="M10" s="15" t="str">
        <f>"82,7750"</f>
        <v>82,7750</v>
      </c>
      <c r="N10" s="12" t="s">
        <v>46</v>
      </c>
    </row>
    <row r="11" spans="1:14" ht="12.75">
      <c r="A11" s="15" t="s">
        <v>47</v>
      </c>
      <c r="B11" s="12" t="s">
        <v>1197</v>
      </c>
      <c r="C11" s="12" t="s">
        <v>385</v>
      </c>
      <c r="D11" s="12" t="s">
        <v>386</v>
      </c>
      <c r="E11" s="12" t="str">
        <f>"1,3428"</f>
        <v>1,3428</v>
      </c>
      <c r="F11" s="12" t="s">
        <v>13</v>
      </c>
      <c r="G11" s="12" t="s">
        <v>387</v>
      </c>
      <c r="H11" s="14" t="s">
        <v>27</v>
      </c>
      <c r="I11" s="14" t="s">
        <v>33</v>
      </c>
      <c r="J11" s="13" t="s">
        <v>54</v>
      </c>
      <c r="K11" s="15"/>
      <c r="L11" s="15" t="str">
        <f>"40,0"</f>
        <v>40,0</v>
      </c>
      <c r="M11" s="15" t="str">
        <f>"53,7120"</f>
        <v>53,7120</v>
      </c>
      <c r="N11" s="12" t="s">
        <v>388</v>
      </c>
    </row>
    <row r="12" spans="1:14" ht="12.75">
      <c r="A12" s="19" t="s">
        <v>74</v>
      </c>
      <c r="B12" s="16" t="s">
        <v>1198</v>
      </c>
      <c r="C12" s="16" t="s">
        <v>389</v>
      </c>
      <c r="D12" s="16" t="s">
        <v>390</v>
      </c>
      <c r="E12" s="16" t="str">
        <f>"1,3305"</f>
        <v>1,3305</v>
      </c>
      <c r="F12" s="16" t="s">
        <v>13</v>
      </c>
      <c r="G12" s="16" t="s">
        <v>391</v>
      </c>
      <c r="H12" s="17" t="s">
        <v>27</v>
      </c>
      <c r="I12" s="17" t="s">
        <v>33</v>
      </c>
      <c r="J12" s="18" t="s">
        <v>54</v>
      </c>
      <c r="K12" s="19"/>
      <c r="L12" s="19" t="str">
        <f>"40,0"</f>
        <v>40,0</v>
      </c>
      <c r="M12" s="19" t="str">
        <f>"53,2200"</f>
        <v>53,2200</v>
      </c>
      <c r="N12" s="16" t="s">
        <v>388</v>
      </c>
    </row>
    <row r="13" ht="12.75">
      <c r="B13" s="6" t="s">
        <v>21</v>
      </c>
    </row>
    <row r="14" spans="1:13" ht="15">
      <c r="A14" s="51" t="s">
        <v>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4" ht="12.75">
      <c r="A15" s="11" t="s">
        <v>23</v>
      </c>
      <c r="B15" s="8" t="s">
        <v>1199</v>
      </c>
      <c r="C15" s="8" t="s">
        <v>254</v>
      </c>
      <c r="D15" s="8" t="s">
        <v>31</v>
      </c>
      <c r="E15" s="8" t="str">
        <f>"1,2597"</f>
        <v>1,2597</v>
      </c>
      <c r="F15" s="8" t="s">
        <v>83</v>
      </c>
      <c r="G15" s="8" t="s">
        <v>84</v>
      </c>
      <c r="H15" s="9" t="s">
        <v>32</v>
      </c>
      <c r="I15" s="9" t="s">
        <v>86</v>
      </c>
      <c r="J15" s="10" t="s">
        <v>15</v>
      </c>
      <c r="K15" s="11"/>
      <c r="L15" s="11" t="str">
        <f>"72,5"</f>
        <v>72,5</v>
      </c>
      <c r="M15" s="11" t="str">
        <f>"91,3282"</f>
        <v>91,3282</v>
      </c>
      <c r="N15" s="8" t="s">
        <v>255</v>
      </c>
    </row>
    <row r="16" spans="1:14" ht="12.75">
      <c r="A16" s="15" t="s">
        <v>47</v>
      </c>
      <c r="B16" s="12" t="s">
        <v>1200</v>
      </c>
      <c r="C16" s="12" t="s">
        <v>392</v>
      </c>
      <c r="D16" s="12" t="s">
        <v>393</v>
      </c>
      <c r="E16" s="12" t="str">
        <f>"1,2635"</f>
        <v>1,2635</v>
      </c>
      <c r="F16" s="12" t="s">
        <v>13</v>
      </c>
      <c r="G16" s="12" t="s">
        <v>14</v>
      </c>
      <c r="H16" s="14" t="s">
        <v>41</v>
      </c>
      <c r="I16" s="14" t="s">
        <v>49</v>
      </c>
      <c r="J16" s="13" t="s">
        <v>50</v>
      </c>
      <c r="K16" s="15"/>
      <c r="L16" s="15" t="str">
        <f>"57,5"</f>
        <v>57,5</v>
      </c>
      <c r="M16" s="15" t="str">
        <f>"72,6512"</f>
        <v>72,6512</v>
      </c>
      <c r="N16" s="12" t="s">
        <v>174</v>
      </c>
    </row>
    <row r="17" spans="1:14" ht="12.75">
      <c r="A17" s="15" t="s">
        <v>23</v>
      </c>
      <c r="B17" s="8" t="s">
        <v>1199</v>
      </c>
      <c r="C17" s="12" t="s">
        <v>256</v>
      </c>
      <c r="D17" s="12" t="s">
        <v>31</v>
      </c>
      <c r="E17" s="12" t="str">
        <f>"1,2597"</f>
        <v>1,2597</v>
      </c>
      <c r="F17" s="12" t="s">
        <v>83</v>
      </c>
      <c r="G17" s="12" t="s">
        <v>84</v>
      </c>
      <c r="H17" s="14" t="s">
        <v>32</v>
      </c>
      <c r="I17" s="14" t="s">
        <v>86</v>
      </c>
      <c r="J17" s="13" t="s">
        <v>15</v>
      </c>
      <c r="K17" s="15"/>
      <c r="L17" s="15" t="str">
        <f>"72,5"</f>
        <v>72,5</v>
      </c>
      <c r="M17" s="15" t="str">
        <f>"93,8854"</f>
        <v>93,8854</v>
      </c>
      <c r="N17" s="12" t="s">
        <v>255</v>
      </c>
    </row>
    <row r="18" spans="1:14" ht="12.75">
      <c r="A18" s="19" t="s">
        <v>47</v>
      </c>
      <c r="B18" s="16" t="s">
        <v>1201</v>
      </c>
      <c r="C18" s="16" t="s">
        <v>394</v>
      </c>
      <c r="D18" s="16" t="s">
        <v>395</v>
      </c>
      <c r="E18" s="16" t="str">
        <f>"1,2560"</f>
        <v>1,2560</v>
      </c>
      <c r="F18" s="16" t="s">
        <v>13</v>
      </c>
      <c r="G18" s="16" t="s">
        <v>14</v>
      </c>
      <c r="H18" s="17" t="s">
        <v>66</v>
      </c>
      <c r="I18" s="17" t="s">
        <v>85</v>
      </c>
      <c r="J18" s="18" t="s">
        <v>32</v>
      </c>
      <c r="K18" s="19"/>
      <c r="L18" s="19" t="str">
        <f>"67,5"</f>
        <v>67,5</v>
      </c>
      <c r="M18" s="19" t="str">
        <f>"91,3928"</f>
        <v>91,3928</v>
      </c>
      <c r="N18" s="16" t="s">
        <v>396</v>
      </c>
    </row>
    <row r="19" ht="12.75">
      <c r="B19" s="6" t="s">
        <v>21</v>
      </c>
    </row>
    <row r="20" spans="1:13" ht="15">
      <c r="A20" s="51" t="s">
        <v>56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4" ht="12.75">
      <c r="A21" s="11" t="s">
        <v>23</v>
      </c>
      <c r="B21" s="8" t="s">
        <v>1202</v>
      </c>
      <c r="C21" s="8" t="s">
        <v>397</v>
      </c>
      <c r="D21" s="8" t="s">
        <v>398</v>
      </c>
      <c r="E21" s="8" t="str">
        <f>"1,1933"</f>
        <v>1,1933</v>
      </c>
      <c r="F21" s="8" t="s">
        <v>13</v>
      </c>
      <c r="G21" s="8" t="s">
        <v>399</v>
      </c>
      <c r="H21" s="9" t="s">
        <v>19</v>
      </c>
      <c r="I21" s="10" t="s">
        <v>42</v>
      </c>
      <c r="J21" s="9" t="s">
        <v>42</v>
      </c>
      <c r="K21" s="11"/>
      <c r="L21" s="11" t="str">
        <f>"55,0"</f>
        <v>55,0</v>
      </c>
      <c r="M21" s="11" t="str">
        <f>"65,6315"</f>
        <v>65,6315</v>
      </c>
      <c r="N21" s="8" t="s">
        <v>400</v>
      </c>
    </row>
    <row r="22" spans="1:14" ht="12.75">
      <c r="A22" s="15" t="s">
        <v>23</v>
      </c>
      <c r="B22" s="12" t="s">
        <v>1203</v>
      </c>
      <c r="C22" s="12" t="s">
        <v>402</v>
      </c>
      <c r="D22" s="12" t="s">
        <v>403</v>
      </c>
      <c r="E22" s="12" t="str">
        <f>"1,2230"</f>
        <v>1,2230</v>
      </c>
      <c r="F22" s="12" t="s">
        <v>13</v>
      </c>
      <c r="G22" s="12" t="s">
        <v>404</v>
      </c>
      <c r="H22" s="14" t="s">
        <v>24</v>
      </c>
      <c r="I22" s="14" t="s">
        <v>28</v>
      </c>
      <c r="J22" s="13" t="s">
        <v>39</v>
      </c>
      <c r="K22" s="15"/>
      <c r="L22" s="15" t="str">
        <f>"85,0"</f>
        <v>85,0</v>
      </c>
      <c r="M22" s="15" t="str">
        <f>"103,9550"</f>
        <v>103,9550</v>
      </c>
      <c r="N22" s="12" t="s">
        <v>405</v>
      </c>
    </row>
    <row r="23" spans="1:14" ht="12.75">
      <c r="A23" s="15" t="s">
        <v>23</v>
      </c>
      <c r="B23" s="12" t="s">
        <v>1203</v>
      </c>
      <c r="C23" s="12" t="s">
        <v>406</v>
      </c>
      <c r="D23" s="12" t="s">
        <v>403</v>
      </c>
      <c r="E23" s="12" t="str">
        <f>"1,2230"</f>
        <v>1,2230</v>
      </c>
      <c r="F23" s="12" t="s">
        <v>13</v>
      </c>
      <c r="G23" s="12" t="s">
        <v>404</v>
      </c>
      <c r="H23" s="14" t="s">
        <v>24</v>
      </c>
      <c r="I23" s="14" t="s">
        <v>28</v>
      </c>
      <c r="J23" s="13" t="s">
        <v>39</v>
      </c>
      <c r="K23" s="15"/>
      <c r="L23" s="15" t="str">
        <f>"85,0"</f>
        <v>85,0</v>
      </c>
      <c r="M23" s="15" t="str">
        <f>"103,9550"</f>
        <v>103,9550</v>
      </c>
      <c r="N23" s="12" t="s">
        <v>405</v>
      </c>
    </row>
    <row r="24" spans="1:14" ht="12.75">
      <c r="A24" s="15" t="s">
        <v>47</v>
      </c>
      <c r="B24" s="12" t="s">
        <v>1204</v>
      </c>
      <c r="C24" s="12" t="s">
        <v>407</v>
      </c>
      <c r="D24" s="12" t="s">
        <v>268</v>
      </c>
      <c r="E24" s="12" t="str">
        <f>"1,2054"</f>
        <v>1,2054</v>
      </c>
      <c r="F24" s="12" t="s">
        <v>13</v>
      </c>
      <c r="G24" s="12" t="s">
        <v>14</v>
      </c>
      <c r="H24" s="14" t="s">
        <v>66</v>
      </c>
      <c r="I24" s="13" t="s">
        <v>64</v>
      </c>
      <c r="J24" s="13" t="s">
        <v>64</v>
      </c>
      <c r="K24" s="15"/>
      <c r="L24" s="15" t="str">
        <f>"62,5"</f>
        <v>62,5</v>
      </c>
      <c r="M24" s="15" t="str">
        <f>"75,3375"</f>
        <v>75,3375</v>
      </c>
      <c r="N24" s="12" t="s">
        <v>408</v>
      </c>
    </row>
    <row r="25" spans="1:14" ht="12.75">
      <c r="A25" s="19" t="s">
        <v>74</v>
      </c>
      <c r="B25" s="16" t="s">
        <v>1205</v>
      </c>
      <c r="C25" s="16" t="s">
        <v>409</v>
      </c>
      <c r="D25" s="16" t="s">
        <v>410</v>
      </c>
      <c r="E25" s="16" t="str">
        <f>"1,1849"</f>
        <v>1,1849</v>
      </c>
      <c r="F25" s="16" t="s">
        <v>13</v>
      </c>
      <c r="G25" s="16" t="s">
        <v>411</v>
      </c>
      <c r="H25" s="17" t="s">
        <v>49</v>
      </c>
      <c r="I25" s="17" t="s">
        <v>66</v>
      </c>
      <c r="J25" s="18" t="s">
        <v>64</v>
      </c>
      <c r="K25" s="19"/>
      <c r="L25" s="19" t="str">
        <f>"62,5"</f>
        <v>62,5</v>
      </c>
      <c r="M25" s="19" t="str">
        <f>"74,0563"</f>
        <v>74,0563</v>
      </c>
      <c r="N25" s="16" t="s">
        <v>412</v>
      </c>
    </row>
    <row r="26" ht="12.75">
      <c r="B26" s="6" t="s">
        <v>21</v>
      </c>
    </row>
    <row r="27" spans="1:13" ht="15">
      <c r="A27" s="51" t="s">
        <v>60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4" ht="12.75">
      <c r="A28" s="11" t="s">
        <v>23</v>
      </c>
      <c r="B28" s="8" t="s">
        <v>1206</v>
      </c>
      <c r="C28" s="8" t="s">
        <v>61</v>
      </c>
      <c r="D28" s="8" t="s">
        <v>62</v>
      </c>
      <c r="E28" s="8" t="str">
        <f>"1,1541"</f>
        <v>1,1541</v>
      </c>
      <c r="F28" s="8" t="s">
        <v>13</v>
      </c>
      <c r="G28" s="8" t="s">
        <v>63</v>
      </c>
      <c r="H28" s="10" t="s">
        <v>26</v>
      </c>
      <c r="I28" s="9" t="s">
        <v>26</v>
      </c>
      <c r="J28" s="9" t="s">
        <v>33</v>
      </c>
      <c r="K28" s="11"/>
      <c r="L28" s="11" t="str">
        <f>"40,0"</f>
        <v>40,0</v>
      </c>
      <c r="M28" s="11" t="str">
        <f>"46,1640"</f>
        <v>46,1640</v>
      </c>
      <c r="N28" s="8" t="s">
        <v>65</v>
      </c>
    </row>
    <row r="29" spans="1:14" ht="12.75">
      <c r="A29" s="15" t="s">
        <v>23</v>
      </c>
      <c r="B29" s="12" t="s">
        <v>1207</v>
      </c>
      <c r="C29" s="12" t="s">
        <v>413</v>
      </c>
      <c r="D29" s="12" t="s">
        <v>373</v>
      </c>
      <c r="E29" s="12" t="str">
        <f>"1,1310"</f>
        <v>1,1310</v>
      </c>
      <c r="F29" s="12" t="s">
        <v>13</v>
      </c>
      <c r="G29" s="12" t="s">
        <v>132</v>
      </c>
      <c r="H29" s="14" t="s">
        <v>27</v>
      </c>
      <c r="I29" s="14" t="s">
        <v>54</v>
      </c>
      <c r="J29" s="13" t="s">
        <v>18</v>
      </c>
      <c r="K29" s="15"/>
      <c r="L29" s="15" t="str">
        <f>"42,5"</f>
        <v>42,5</v>
      </c>
      <c r="M29" s="15" t="str">
        <f>"48,0675"</f>
        <v>48,0675</v>
      </c>
      <c r="N29" s="12" t="s">
        <v>414</v>
      </c>
    </row>
    <row r="30" spans="1:14" ht="12.75">
      <c r="A30" s="15" t="s">
        <v>23</v>
      </c>
      <c r="B30" s="12" t="s">
        <v>1208</v>
      </c>
      <c r="C30" s="12" t="s">
        <v>415</v>
      </c>
      <c r="D30" s="12" t="s">
        <v>416</v>
      </c>
      <c r="E30" s="12" t="str">
        <f>"1,1386"</f>
        <v>1,1386</v>
      </c>
      <c r="F30" s="12" t="s">
        <v>13</v>
      </c>
      <c r="G30" s="12" t="s">
        <v>417</v>
      </c>
      <c r="H30" s="14" t="s">
        <v>15</v>
      </c>
      <c r="I30" s="13" t="s">
        <v>59</v>
      </c>
      <c r="J30" s="13" t="s">
        <v>59</v>
      </c>
      <c r="K30" s="15"/>
      <c r="L30" s="15" t="str">
        <f>"75,0"</f>
        <v>75,0</v>
      </c>
      <c r="M30" s="15" t="str">
        <f>"85,3950"</f>
        <v>85,3950</v>
      </c>
      <c r="N30" s="12" t="s">
        <v>418</v>
      </c>
    </row>
    <row r="31" spans="1:14" ht="12.75">
      <c r="A31" s="15" t="s">
        <v>47</v>
      </c>
      <c r="B31" s="12" t="s">
        <v>1209</v>
      </c>
      <c r="C31" s="12" t="s">
        <v>419</v>
      </c>
      <c r="D31" s="12" t="s">
        <v>68</v>
      </c>
      <c r="E31" s="12" t="str">
        <f>"1,1251"</f>
        <v>1,1251</v>
      </c>
      <c r="F31" s="12" t="s">
        <v>13</v>
      </c>
      <c r="G31" s="12" t="s">
        <v>344</v>
      </c>
      <c r="H31" s="14" t="s">
        <v>17</v>
      </c>
      <c r="I31" s="14" t="s">
        <v>19</v>
      </c>
      <c r="J31" s="13" t="s">
        <v>42</v>
      </c>
      <c r="K31" s="15"/>
      <c r="L31" s="15" t="str">
        <f>"50,0"</f>
        <v>50,0</v>
      </c>
      <c r="M31" s="15" t="str">
        <f>"56,2550"</f>
        <v>56,2550</v>
      </c>
      <c r="N31" s="12" t="s">
        <v>420</v>
      </c>
    </row>
    <row r="32" spans="1:14" ht="12.75">
      <c r="A32" s="15" t="s">
        <v>23</v>
      </c>
      <c r="B32" s="12" t="s">
        <v>1210</v>
      </c>
      <c r="C32" s="12" t="s">
        <v>422</v>
      </c>
      <c r="D32" s="12" t="s">
        <v>423</v>
      </c>
      <c r="E32" s="12" t="str">
        <f>"1,1325"</f>
        <v>1,1325</v>
      </c>
      <c r="F32" s="12" t="s">
        <v>37</v>
      </c>
      <c r="G32" s="12" t="s">
        <v>424</v>
      </c>
      <c r="H32" s="13" t="s">
        <v>59</v>
      </c>
      <c r="I32" s="14" t="s">
        <v>59</v>
      </c>
      <c r="J32" s="14" t="s">
        <v>24</v>
      </c>
      <c r="K32" s="15"/>
      <c r="L32" s="15" t="str">
        <f>"80,0"</f>
        <v>80,0</v>
      </c>
      <c r="M32" s="15" t="str">
        <f>"90,6000"</f>
        <v>90,6000</v>
      </c>
      <c r="N32" s="12" t="s">
        <v>425</v>
      </c>
    </row>
    <row r="33" spans="1:14" ht="12.75">
      <c r="A33" s="15" t="s">
        <v>47</v>
      </c>
      <c r="B33" s="12" t="s">
        <v>1211</v>
      </c>
      <c r="C33" s="12" t="s">
        <v>427</v>
      </c>
      <c r="D33" s="12" t="s">
        <v>68</v>
      </c>
      <c r="E33" s="12" t="str">
        <f>"1,1251"</f>
        <v>1,1251</v>
      </c>
      <c r="F33" s="12" t="s">
        <v>13</v>
      </c>
      <c r="G33" s="12" t="s">
        <v>115</v>
      </c>
      <c r="H33" s="14" t="s">
        <v>17</v>
      </c>
      <c r="I33" s="14" t="s">
        <v>18</v>
      </c>
      <c r="J33" s="14" t="s">
        <v>19</v>
      </c>
      <c r="K33" s="15"/>
      <c r="L33" s="15" t="str">
        <f>"50,0"</f>
        <v>50,0</v>
      </c>
      <c r="M33" s="15" t="str">
        <f>"56,2550"</f>
        <v>56,2550</v>
      </c>
      <c r="N33" s="12" t="s">
        <v>428</v>
      </c>
    </row>
    <row r="34" spans="1:14" ht="12.75">
      <c r="A34" s="15" t="s">
        <v>23</v>
      </c>
      <c r="B34" s="12" t="s">
        <v>429</v>
      </c>
      <c r="C34" s="12" t="s">
        <v>430</v>
      </c>
      <c r="D34" s="12" t="s">
        <v>431</v>
      </c>
      <c r="E34" s="12" t="str">
        <f>"1,1178"</f>
        <v>1,1178</v>
      </c>
      <c r="F34" s="12" t="s">
        <v>13</v>
      </c>
      <c r="G34" s="12" t="s">
        <v>432</v>
      </c>
      <c r="H34" s="14" t="s">
        <v>86</v>
      </c>
      <c r="I34" s="13" t="s">
        <v>59</v>
      </c>
      <c r="J34" s="13" t="s">
        <v>59</v>
      </c>
      <c r="K34" s="15"/>
      <c r="L34" s="15" t="str">
        <f>"72,5"</f>
        <v>72,5</v>
      </c>
      <c r="M34" s="15" t="str">
        <f>"96,1951"</f>
        <v>96,1951</v>
      </c>
      <c r="N34" s="12" t="s">
        <v>433</v>
      </c>
    </row>
    <row r="35" spans="1:14" ht="12.75">
      <c r="A35" s="19" t="s">
        <v>47</v>
      </c>
      <c r="B35" s="16" t="s">
        <v>81</v>
      </c>
      <c r="C35" s="16" t="s">
        <v>82</v>
      </c>
      <c r="D35" s="16" t="s">
        <v>72</v>
      </c>
      <c r="E35" s="16" t="str">
        <f>"1,1221"</f>
        <v>1,1221</v>
      </c>
      <c r="F35" s="16" t="s">
        <v>83</v>
      </c>
      <c r="G35" s="16" t="s">
        <v>84</v>
      </c>
      <c r="H35" s="17" t="s">
        <v>33</v>
      </c>
      <c r="I35" s="17" t="s">
        <v>17</v>
      </c>
      <c r="J35" s="18" t="s">
        <v>19</v>
      </c>
      <c r="K35" s="19"/>
      <c r="L35" s="19" t="str">
        <f>"45,0"</f>
        <v>45,0</v>
      </c>
      <c r="M35" s="19" t="str">
        <f>"58,9776"</f>
        <v>58,9776</v>
      </c>
      <c r="N35" s="16" t="s">
        <v>20</v>
      </c>
    </row>
    <row r="36" ht="12.75">
      <c r="B36" s="6" t="s">
        <v>21</v>
      </c>
    </row>
    <row r="37" spans="1:13" ht="15">
      <c r="A37" s="51" t="s">
        <v>87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4" ht="12.75">
      <c r="A38" s="11" t="s">
        <v>23</v>
      </c>
      <c r="B38" s="8" t="s">
        <v>434</v>
      </c>
      <c r="C38" s="8" t="s">
        <v>435</v>
      </c>
      <c r="D38" s="8" t="s">
        <v>436</v>
      </c>
      <c r="E38" s="8" t="str">
        <f>"1,0831"</f>
        <v>1,0831</v>
      </c>
      <c r="F38" s="8" t="s">
        <v>13</v>
      </c>
      <c r="G38" s="8" t="s">
        <v>437</v>
      </c>
      <c r="H38" s="9" t="s">
        <v>32</v>
      </c>
      <c r="I38" s="9" t="s">
        <v>86</v>
      </c>
      <c r="J38" s="10" t="s">
        <v>15</v>
      </c>
      <c r="K38" s="11"/>
      <c r="L38" s="11" t="str">
        <f>"72,5"</f>
        <v>72,5</v>
      </c>
      <c r="M38" s="11" t="str">
        <f>"78,5247"</f>
        <v>78,5247</v>
      </c>
      <c r="N38" s="8" t="s">
        <v>438</v>
      </c>
    </row>
    <row r="39" spans="1:14" ht="12.75">
      <c r="A39" s="15" t="s">
        <v>23</v>
      </c>
      <c r="B39" s="12" t="s">
        <v>439</v>
      </c>
      <c r="C39" s="12" t="s">
        <v>440</v>
      </c>
      <c r="D39" s="12" t="s">
        <v>441</v>
      </c>
      <c r="E39" s="12" t="str">
        <f>"1,0701"</f>
        <v>1,0701</v>
      </c>
      <c r="F39" s="12" t="s">
        <v>13</v>
      </c>
      <c r="G39" s="12" t="s">
        <v>367</v>
      </c>
      <c r="H39" s="14" t="s">
        <v>15</v>
      </c>
      <c r="I39" s="14" t="s">
        <v>59</v>
      </c>
      <c r="J39" s="13" t="s">
        <v>24</v>
      </c>
      <c r="K39" s="15"/>
      <c r="L39" s="15" t="str">
        <f>"77,5"</f>
        <v>77,5</v>
      </c>
      <c r="M39" s="15" t="str">
        <f>"82,9327"</f>
        <v>82,9327</v>
      </c>
      <c r="N39" s="12" t="s">
        <v>442</v>
      </c>
    </row>
    <row r="40" spans="1:14" ht="12.75">
      <c r="A40" s="15" t="s">
        <v>23</v>
      </c>
      <c r="B40" s="12" t="s">
        <v>257</v>
      </c>
      <c r="C40" s="12" t="s">
        <v>258</v>
      </c>
      <c r="D40" s="12" t="s">
        <v>114</v>
      </c>
      <c r="E40" s="12" t="str">
        <f>"1,0206"</f>
        <v>1,0206</v>
      </c>
      <c r="F40" s="12" t="s">
        <v>259</v>
      </c>
      <c r="G40" s="12" t="s">
        <v>260</v>
      </c>
      <c r="H40" s="13" t="s">
        <v>29</v>
      </c>
      <c r="I40" s="14" t="s">
        <v>29</v>
      </c>
      <c r="J40" s="13" t="s">
        <v>34</v>
      </c>
      <c r="K40" s="15"/>
      <c r="L40" s="15" t="str">
        <f>"92,5"</f>
        <v>92,5</v>
      </c>
      <c r="M40" s="15" t="str">
        <f>"94,4055"</f>
        <v>94,4055</v>
      </c>
      <c r="N40" s="12" t="s">
        <v>20</v>
      </c>
    </row>
    <row r="41" spans="1:14" ht="12.75">
      <c r="A41" s="49" t="s">
        <v>134</v>
      </c>
      <c r="B41" s="12" t="s">
        <v>443</v>
      </c>
      <c r="C41" s="12" t="s">
        <v>348</v>
      </c>
      <c r="D41" s="12" t="s">
        <v>444</v>
      </c>
      <c r="E41" s="12" t="str">
        <f>"1,0792"</f>
        <v>1,0792</v>
      </c>
      <c r="F41" s="12" t="s">
        <v>13</v>
      </c>
      <c r="G41" s="12" t="s">
        <v>445</v>
      </c>
      <c r="H41" s="14" t="s">
        <v>24</v>
      </c>
      <c r="I41" s="14" t="s">
        <v>16</v>
      </c>
      <c r="J41" s="14" t="s">
        <v>28</v>
      </c>
      <c r="K41" s="15"/>
      <c r="L41" s="15" t="str">
        <f>"85,0"</f>
        <v>85,0</v>
      </c>
      <c r="M41" s="15" t="str">
        <f>"91,7320"</f>
        <v>91,7320</v>
      </c>
      <c r="N41" s="12" t="s">
        <v>20</v>
      </c>
    </row>
    <row r="42" spans="1:14" ht="12.75">
      <c r="A42" s="15" t="s">
        <v>23</v>
      </c>
      <c r="B42" s="12" t="s">
        <v>439</v>
      </c>
      <c r="C42" s="12" t="s">
        <v>446</v>
      </c>
      <c r="D42" s="12" t="s">
        <v>441</v>
      </c>
      <c r="E42" s="12" t="str">
        <f>"1,0701"</f>
        <v>1,0701</v>
      </c>
      <c r="F42" s="12" t="s">
        <v>13</v>
      </c>
      <c r="G42" s="12" t="s">
        <v>367</v>
      </c>
      <c r="H42" s="14" t="s">
        <v>15</v>
      </c>
      <c r="I42" s="14" t="s">
        <v>59</v>
      </c>
      <c r="J42" s="13" t="s">
        <v>24</v>
      </c>
      <c r="K42" s="15"/>
      <c r="L42" s="15" t="str">
        <f>"77,5"</f>
        <v>77,5</v>
      </c>
      <c r="M42" s="15" t="str">
        <f>"82,9327"</f>
        <v>82,9327</v>
      </c>
      <c r="N42" s="12" t="s">
        <v>442</v>
      </c>
    </row>
    <row r="43" spans="1:14" ht="12.75">
      <c r="A43" s="19" t="s">
        <v>47</v>
      </c>
      <c r="B43" s="16" t="s">
        <v>434</v>
      </c>
      <c r="C43" s="16" t="s">
        <v>447</v>
      </c>
      <c r="D43" s="16" t="s">
        <v>436</v>
      </c>
      <c r="E43" s="16" t="str">
        <f>"1,0831"</f>
        <v>1,0831</v>
      </c>
      <c r="F43" s="16" t="s">
        <v>13</v>
      </c>
      <c r="G43" s="16" t="s">
        <v>437</v>
      </c>
      <c r="H43" s="17" t="s">
        <v>32</v>
      </c>
      <c r="I43" s="17" t="s">
        <v>86</v>
      </c>
      <c r="J43" s="18" t="s">
        <v>15</v>
      </c>
      <c r="K43" s="19"/>
      <c r="L43" s="19" t="str">
        <f>"72,5"</f>
        <v>72,5</v>
      </c>
      <c r="M43" s="19" t="str">
        <f>"78,5247"</f>
        <v>78,5247</v>
      </c>
      <c r="N43" s="16" t="s">
        <v>438</v>
      </c>
    </row>
    <row r="44" ht="12.75">
      <c r="B44" s="6" t="s">
        <v>21</v>
      </c>
    </row>
    <row r="45" spans="1:13" ht="15">
      <c r="A45" s="51" t="s">
        <v>96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4" ht="12.75">
      <c r="A46" s="11" t="s">
        <v>23</v>
      </c>
      <c r="B46" s="8" t="s">
        <v>448</v>
      </c>
      <c r="C46" s="8" t="s">
        <v>449</v>
      </c>
      <c r="D46" s="8" t="s">
        <v>450</v>
      </c>
      <c r="E46" s="8" t="str">
        <f>"0,9613"</f>
        <v>0,9613</v>
      </c>
      <c r="F46" s="8" t="s">
        <v>13</v>
      </c>
      <c r="G46" s="36" t="s">
        <v>115</v>
      </c>
      <c r="H46" s="48" t="s">
        <v>18</v>
      </c>
      <c r="I46" s="9" t="s">
        <v>42</v>
      </c>
      <c r="J46" s="42" t="s">
        <v>50</v>
      </c>
      <c r="K46" s="39"/>
      <c r="L46" s="11" t="str">
        <f>"55,0"</f>
        <v>55,0</v>
      </c>
      <c r="M46" s="11" t="str">
        <f>"52,8715"</f>
        <v>52,8715</v>
      </c>
      <c r="N46" s="8" t="s">
        <v>451</v>
      </c>
    </row>
    <row r="47" spans="1:14" ht="12.75">
      <c r="A47" s="15" t="s">
        <v>23</v>
      </c>
      <c r="B47" s="12" t="s">
        <v>97</v>
      </c>
      <c r="C47" s="12" t="s">
        <v>98</v>
      </c>
      <c r="D47" s="12" t="s">
        <v>99</v>
      </c>
      <c r="E47" s="12" t="str">
        <f>"0,9725"</f>
        <v>0,9725</v>
      </c>
      <c r="F47" s="12" t="s">
        <v>83</v>
      </c>
      <c r="G47" s="37" t="s">
        <v>84</v>
      </c>
      <c r="H47" s="45" t="s">
        <v>42</v>
      </c>
      <c r="I47" s="14" t="s">
        <v>42</v>
      </c>
      <c r="J47" s="44" t="s">
        <v>64</v>
      </c>
      <c r="K47" s="40"/>
      <c r="L47" s="15" t="str">
        <f>"55,0"</f>
        <v>55,0</v>
      </c>
      <c r="M47" s="15" t="str">
        <f>"53,4875"</f>
        <v>53,4875</v>
      </c>
      <c r="N47" s="12" t="s">
        <v>255</v>
      </c>
    </row>
    <row r="48" spans="1:14" ht="12.75">
      <c r="A48" s="15" t="s">
        <v>23</v>
      </c>
      <c r="B48" s="12" t="s">
        <v>103</v>
      </c>
      <c r="C48" s="12" t="s">
        <v>104</v>
      </c>
      <c r="D48" s="12" t="s">
        <v>105</v>
      </c>
      <c r="E48" s="12" t="str">
        <f>"0,9958"</f>
        <v>0,9958</v>
      </c>
      <c r="F48" s="12" t="s">
        <v>106</v>
      </c>
      <c r="G48" s="37" t="s">
        <v>107</v>
      </c>
      <c r="H48" s="43" t="s">
        <v>17</v>
      </c>
      <c r="I48" s="14" t="s">
        <v>19</v>
      </c>
      <c r="J48" s="44" t="s">
        <v>42</v>
      </c>
      <c r="K48" s="40"/>
      <c r="L48" s="15" t="str">
        <f>"50,0"</f>
        <v>50,0</v>
      </c>
      <c r="M48" s="15" t="str">
        <f>"49,7900"</f>
        <v>49,7900</v>
      </c>
      <c r="N48" s="12" t="s">
        <v>20</v>
      </c>
    </row>
    <row r="49" spans="1:14" ht="12.75">
      <c r="A49" s="15" t="s">
        <v>23</v>
      </c>
      <c r="B49" s="12" t="s">
        <v>452</v>
      </c>
      <c r="C49" s="12" t="s">
        <v>453</v>
      </c>
      <c r="D49" s="12" t="s">
        <v>356</v>
      </c>
      <c r="E49" s="12" t="str">
        <f>"0,9638"</f>
        <v>0,9638</v>
      </c>
      <c r="F49" s="12" t="s">
        <v>13</v>
      </c>
      <c r="G49" s="37" t="s">
        <v>181</v>
      </c>
      <c r="H49" s="43" t="s">
        <v>15</v>
      </c>
      <c r="I49" s="14" t="s">
        <v>16</v>
      </c>
      <c r="J49" s="44" t="s">
        <v>454</v>
      </c>
      <c r="K49" s="40"/>
      <c r="L49" s="15" t="str">
        <f>"82,5"</f>
        <v>82,5</v>
      </c>
      <c r="M49" s="15" t="str">
        <f>"79,5135"</f>
        <v>79,5135</v>
      </c>
      <c r="N49" s="12" t="s">
        <v>177</v>
      </c>
    </row>
    <row r="50" spans="1:14" ht="12.75">
      <c r="A50" s="19" t="s">
        <v>47</v>
      </c>
      <c r="B50" s="16" t="s">
        <v>261</v>
      </c>
      <c r="C50" s="16" t="s">
        <v>262</v>
      </c>
      <c r="D50" s="16" t="s">
        <v>263</v>
      </c>
      <c r="E50" s="16" t="str">
        <f>"0,9698"</f>
        <v>0,9698</v>
      </c>
      <c r="F50" s="16" t="s">
        <v>13</v>
      </c>
      <c r="G50" s="38" t="s">
        <v>264</v>
      </c>
      <c r="H50" s="46" t="s">
        <v>49</v>
      </c>
      <c r="I50" s="17" t="s">
        <v>66</v>
      </c>
      <c r="J50" s="47" t="s">
        <v>85</v>
      </c>
      <c r="K50" s="41"/>
      <c r="L50" s="19" t="str">
        <f>"62,5"</f>
        <v>62,5</v>
      </c>
      <c r="M50" s="19" t="str">
        <f>"60,6125"</f>
        <v>60,6125</v>
      </c>
      <c r="N50" s="16" t="s">
        <v>265</v>
      </c>
    </row>
    <row r="51" ht="12.75">
      <c r="B51" s="6" t="s">
        <v>21</v>
      </c>
    </row>
    <row r="52" spans="1:13" ht="15">
      <c r="A52" s="51" t="s">
        <v>109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4" ht="12.75">
      <c r="A53" s="23" t="s">
        <v>23</v>
      </c>
      <c r="B53" s="20" t="s">
        <v>455</v>
      </c>
      <c r="C53" s="20" t="s">
        <v>456</v>
      </c>
      <c r="D53" s="20" t="s">
        <v>457</v>
      </c>
      <c r="E53" s="20" t="str">
        <f>"0,9347"</f>
        <v>0,9347</v>
      </c>
      <c r="F53" s="20" t="s">
        <v>13</v>
      </c>
      <c r="G53" s="20" t="s">
        <v>14</v>
      </c>
      <c r="H53" s="21" t="s">
        <v>50</v>
      </c>
      <c r="I53" s="21" t="s">
        <v>64</v>
      </c>
      <c r="J53" s="22" t="s">
        <v>32</v>
      </c>
      <c r="K53" s="23"/>
      <c r="L53" s="23" t="str">
        <f>"65,0"</f>
        <v>65,0</v>
      </c>
      <c r="M53" s="23" t="str">
        <f>"60,7555"</f>
        <v>60,7555</v>
      </c>
      <c r="N53" s="20" t="s">
        <v>420</v>
      </c>
    </row>
    <row r="54" ht="12.75">
      <c r="B54" s="6" t="s">
        <v>21</v>
      </c>
    </row>
    <row r="55" spans="1:13" ht="15">
      <c r="A55" s="51" t="s">
        <v>30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4" ht="12.75">
      <c r="A56" s="11" t="s">
        <v>23</v>
      </c>
      <c r="B56" s="8" t="s">
        <v>458</v>
      </c>
      <c r="C56" s="8" t="s">
        <v>459</v>
      </c>
      <c r="D56" s="8" t="s">
        <v>395</v>
      </c>
      <c r="E56" s="8" t="str">
        <f>"0,9913"</f>
        <v>0,9913</v>
      </c>
      <c r="F56" s="8" t="s">
        <v>13</v>
      </c>
      <c r="G56" s="8" t="s">
        <v>460</v>
      </c>
      <c r="H56" s="9" t="s">
        <v>64</v>
      </c>
      <c r="I56" s="9" t="s">
        <v>32</v>
      </c>
      <c r="J56" s="10" t="s">
        <v>86</v>
      </c>
      <c r="K56" s="11"/>
      <c r="L56" s="11" t="str">
        <f>"70,0"</f>
        <v>70,0</v>
      </c>
      <c r="M56" s="11" t="str">
        <f>"69,3910"</f>
        <v>69,3910</v>
      </c>
      <c r="N56" s="8" t="s">
        <v>461</v>
      </c>
    </row>
    <row r="57" spans="1:14" ht="12.75">
      <c r="A57" s="19" t="s">
        <v>23</v>
      </c>
      <c r="B57" s="16" t="s">
        <v>462</v>
      </c>
      <c r="C57" s="16" t="s">
        <v>463</v>
      </c>
      <c r="D57" s="16" t="s">
        <v>464</v>
      </c>
      <c r="E57" s="16" t="str">
        <f>"1,0016"</f>
        <v>1,0016</v>
      </c>
      <c r="F57" s="16" t="s">
        <v>13</v>
      </c>
      <c r="G57" s="16" t="s">
        <v>14</v>
      </c>
      <c r="H57" s="17" t="s">
        <v>39</v>
      </c>
      <c r="I57" s="18" t="s">
        <v>48</v>
      </c>
      <c r="J57" s="18" t="s">
        <v>48</v>
      </c>
      <c r="K57" s="19"/>
      <c r="L57" s="19" t="str">
        <f>"90,0"</f>
        <v>90,0</v>
      </c>
      <c r="M57" s="19" t="str">
        <f>"90,1440"</f>
        <v>90,1440</v>
      </c>
      <c r="N57" s="16" t="s">
        <v>465</v>
      </c>
    </row>
    <row r="58" ht="12.75">
      <c r="B58" s="6" t="s">
        <v>21</v>
      </c>
    </row>
    <row r="59" spans="1:13" ht="15">
      <c r="A59" s="51" t="s">
        <v>56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4" ht="12.75">
      <c r="A60" s="11" t="s">
        <v>23</v>
      </c>
      <c r="B60" s="8" t="s">
        <v>266</v>
      </c>
      <c r="C60" s="8" t="s">
        <v>267</v>
      </c>
      <c r="D60" s="8" t="s">
        <v>268</v>
      </c>
      <c r="E60" s="8" t="str">
        <f>"0,9386"</f>
        <v>0,9386</v>
      </c>
      <c r="F60" s="8" t="s">
        <v>269</v>
      </c>
      <c r="G60" s="8" t="s">
        <v>270</v>
      </c>
      <c r="H60" s="10" t="s">
        <v>50</v>
      </c>
      <c r="I60" s="9" t="s">
        <v>50</v>
      </c>
      <c r="J60" s="9" t="s">
        <v>85</v>
      </c>
      <c r="K60" s="11"/>
      <c r="L60" s="11" t="str">
        <f>"67,5"</f>
        <v>67,5</v>
      </c>
      <c r="M60" s="11" t="str">
        <f>"63,3555"</f>
        <v>63,3555</v>
      </c>
      <c r="N60" s="8" t="s">
        <v>271</v>
      </c>
    </row>
    <row r="61" spans="1:14" ht="12.75">
      <c r="A61" s="15" t="s">
        <v>47</v>
      </c>
      <c r="B61" s="12" t="s">
        <v>466</v>
      </c>
      <c r="C61" s="12" t="s">
        <v>467</v>
      </c>
      <c r="D61" s="12" t="s">
        <v>468</v>
      </c>
      <c r="E61" s="12" t="str">
        <f>"0,9474"</f>
        <v>0,9474</v>
      </c>
      <c r="F61" s="12" t="s">
        <v>37</v>
      </c>
      <c r="G61" s="12" t="s">
        <v>234</v>
      </c>
      <c r="H61" s="14" t="s">
        <v>66</v>
      </c>
      <c r="I61" s="14" t="s">
        <v>64</v>
      </c>
      <c r="J61" s="13" t="s">
        <v>85</v>
      </c>
      <c r="K61" s="15"/>
      <c r="L61" s="15" t="str">
        <f>"65,0"</f>
        <v>65,0</v>
      </c>
      <c r="M61" s="15" t="str">
        <f>"61,5810"</f>
        <v>61,5810</v>
      </c>
      <c r="N61" s="12" t="s">
        <v>236</v>
      </c>
    </row>
    <row r="62" spans="1:14" ht="12.75">
      <c r="A62" s="19" t="s">
        <v>23</v>
      </c>
      <c r="B62" s="16" t="s">
        <v>469</v>
      </c>
      <c r="C62" s="16" t="s">
        <v>470</v>
      </c>
      <c r="D62" s="16" t="s">
        <v>319</v>
      </c>
      <c r="E62" s="16" t="str">
        <f>"0,9103"</f>
        <v>0,9103</v>
      </c>
      <c r="F62" s="16" t="s">
        <v>13</v>
      </c>
      <c r="G62" s="16" t="s">
        <v>237</v>
      </c>
      <c r="H62" s="17" t="s">
        <v>32</v>
      </c>
      <c r="I62" s="17" t="s">
        <v>15</v>
      </c>
      <c r="J62" s="17" t="s">
        <v>24</v>
      </c>
      <c r="K62" s="19"/>
      <c r="L62" s="19" t="str">
        <f>"80,0"</f>
        <v>80,0</v>
      </c>
      <c r="M62" s="19" t="str">
        <f>"72,8240"</f>
        <v>72,8240</v>
      </c>
      <c r="N62" s="16" t="s">
        <v>20</v>
      </c>
    </row>
    <row r="63" ht="12.75">
      <c r="B63" s="6" t="s">
        <v>21</v>
      </c>
    </row>
    <row r="64" spans="1:13" ht="15">
      <c r="A64" s="51" t="s">
        <v>60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4" ht="12.75">
      <c r="A65" s="11" t="s">
        <v>23</v>
      </c>
      <c r="B65" s="8" t="s">
        <v>471</v>
      </c>
      <c r="C65" s="8" t="s">
        <v>472</v>
      </c>
      <c r="D65" s="8" t="s">
        <v>473</v>
      </c>
      <c r="E65" s="8" t="str">
        <f>"0,8542"</f>
        <v>0,8542</v>
      </c>
      <c r="F65" s="8" t="s">
        <v>13</v>
      </c>
      <c r="G65" s="8" t="s">
        <v>115</v>
      </c>
      <c r="H65" s="9" t="s">
        <v>88</v>
      </c>
      <c r="I65" s="9" t="s">
        <v>101</v>
      </c>
      <c r="J65" s="10" t="s">
        <v>44</v>
      </c>
      <c r="K65" s="11"/>
      <c r="L65" s="11" t="str">
        <f>"140,0"</f>
        <v>140,0</v>
      </c>
      <c r="M65" s="11" t="str">
        <f>"119,5880"</f>
        <v>119,5880</v>
      </c>
      <c r="N65" s="8" t="s">
        <v>474</v>
      </c>
    </row>
    <row r="66" spans="1:14" ht="12.75">
      <c r="A66" s="15" t="s">
        <v>47</v>
      </c>
      <c r="B66" s="12" t="s">
        <v>475</v>
      </c>
      <c r="C66" s="12" t="s">
        <v>476</v>
      </c>
      <c r="D66" s="12" t="s">
        <v>477</v>
      </c>
      <c r="E66" s="12" t="str">
        <f>"0,8874"</f>
        <v>0,8874</v>
      </c>
      <c r="F66" s="12" t="s">
        <v>13</v>
      </c>
      <c r="G66" s="12" t="s">
        <v>478</v>
      </c>
      <c r="H66" s="14" t="s">
        <v>69</v>
      </c>
      <c r="I66" s="14" t="s">
        <v>51</v>
      </c>
      <c r="J66" s="14" t="s">
        <v>73</v>
      </c>
      <c r="K66" s="15"/>
      <c r="L66" s="15" t="str">
        <f>"115,0"</f>
        <v>115,0</v>
      </c>
      <c r="M66" s="15" t="str">
        <f>"102,0510"</f>
        <v>102,0510</v>
      </c>
      <c r="N66" s="12" t="s">
        <v>479</v>
      </c>
    </row>
    <row r="67" spans="1:14" ht="12.75">
      <c r="A67" s="19" t="s">
        <v>23</v>
      </c>
      <c r="B67" s="16" t="s">
        <v>480</v>
      </c>
      <c r="C67" s="16" t="s">
        <v>481</v>
      </c>
      <c r="D67" s="16" t="s">
        <v>354</v>
      </c>
      <c r="E67" s="16" t="str">
        <f>"0,8635"</f>
        <v>0,8635</v>
      </c>
      <c r="F67" s="16" t="s">
        <v>13</v>
      </c>
      <c r="G67" s="16" t="s">
        <v>79</v>
      </c>
      <c r="H67" s="17" t="s">
        <v>34</v>
      </c>
      <c r="I67" s="18" t="s">
        <v>51</v>
      </c>
      <c r="J67" s="17" t="s">
        <v>51</v>
      </c>
      <c r="K67" s="19"/>
      <c r="L67" s="19" t="str">
        <f>"112,5"</f>
        <v>112,5</v>
      </c>
      <c r="M67" s="19" t="str">
        <f>"101,4181"</f>
        <v>101,4181</v>
      </c>
      <c r="N67" s="16" t="s">
        <v>20</v>
      </c>
    </row>
    <row r="68" ht="12.75">
      <c r="B68" s="6" t="s">
        <v>21</v>
      </c>
    </row>
    <row r="69" spans="1:13" ht="15">
      <c r="A69" s="51" t="s">
        <v>87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4" ht="12.75">
      <c r="A70" s="11" t="s">
        <v>23</v>
      </c>
      <c r="B70" s="8" t="s">
        <v>482</v>
      </c>
      <c r="C70" s="8" t="s">
        <v>483</v>
      </c>
      <c r="D70" s="8" t="s">
        <v>484</v>
      </c>
      <c r="E70" s="8" t="str">
        <f>"0,7862"</f>
        <v>0,7862</v>
      </c>
      <c r="F70" s="8" t="s">
        <v>13</v>
      </c>
      <c r="G70" s="8" t="s">
        <v>485</v>
      </c>
      <c r="H70" s="9" t="s">
        <v>24</v>
      </c>
      <c r="I70" s="9" t="s">
        <v>16</v>
      </c>
      <c r="J70" s="10" t="s">
        <v>454</v>
      </c>
      <c r="K70" s="11"/>
      <c r="L70" s="11" t="str">
        <f>"82,5"</f>
        <v>82,5</v>
      </c>
      <c r="M70" s="11" t="str">
        <f>"64,8615"</f>
        <v>64,8615</v>
      </c>
      <c r="N70" s="8" t="s">
        <v>486</v>
      </c>
    </row>
    <row r="71" spans="1:14" ht="12.75">
      <c r="A71" s="15" t="s">
        <v>23</v>
      </c>
      <c r="B71" s="12" t="s">
        <v>112</v>
      </c>
      <c r="C71" s="12" t="s">
        <v>113</v>
      </c>
      <c r="D71" s="12" t="s">
        <v>114</v>
      </c>
      <c r="E71" s="12" t="str">
        <f>"0,7710"</f>
        <v>0,7710</v>
      </c>
      <c r="F71" s="12" t="s">
        <v>37</v>
      </c>
      <c r="G71" s="12" t="s">
        <v>115</v>
      </c>
      <c r="H71" s="14" t="s">
        <v>69</v>
      </c>
      <c r="I71" s="14" t="s">
        <v>51</v>
      </c>
      <c r="J71" s="14" t="s">
        <v>73</v>
      </c>
      <c r="K71" s="15"/>
      <c r="L71" s="15" t="str">
        <f>"115,0"</f>
        <v>115,0</v>
      </c>
      <c r="M71" s="15" t="str">
        <f>"88,6650"</f>
        <v>88,6650</v>
      </c>
      <c r="N71" s="12" t="s">
        <v>120</v>
      </c>
    </row>
    <row r="72" spans="1:14" ht="12.75">
      <c r="A72" s="15" t="s">
        <v>47</v>
      </c>
      <c r="B72" s="12" t="s">
        <v>112</v>
      </c>
      <c r="C72" s="12" t="s">
        <v>113</v>
      </c>
      <c r="D72" s="12" t="s">
        <v>355</v>
      </c>
      <c r="E72" s="12" t="str">
        <f>"0,7785"</f>
        <v>0,7785</v>
      </c>
      <c r="F72" s="12" t="s">
        <v>37</v>
      </c>
      <c r="G72" s="12" t="s">
        <v>115</v>
      </c>
      <c r="H72" s="14" t="s">
        <v>36</v>
      </c>
      <c r="I72" s="13" t="s">
        <v>73</v>
      </c>
      <c r="J72" s="13" t="s">
        <v>73</v>
      </c>
      <c r="K72" s="15"/>
      <c r="L72" s="15" t="str">
        <f>"110,0"</f>
        <v>110,0</v>
      </c>
      <c r="M72" s="15" t="str">
        <f>"85,6350"</f>
        <v>85,6350</v>
      </c>
      <c r="N72" s="12" t="s">
        <v>120</v>
      </c>
    </row>
    <row r="73" spans="1:14" ht="12.75">
      <c r="A73" s="15" t="s">
        <v>23</v>
      </c>
      <c r="B73" s="12" t="s">
        <v>487</v>
      </c>
      <c r="C73" s="12" t="s">
        <v>488</v>
      </c>
      <c r="D73" s="12" t="s">
        <v>89</v>
      </c>
      <c r="E73" s="12" t="str">
        <f>"0,7738"</f>
        <v>0,7738</v>
      </c>
      <c r="F73" s="12" t="s">
        <v>13</v>
      </c>
      <c r="G73" s="12" t="s">
        <v>158</v>
      </c>
      <c r="H73" s="13" t="s">
        <v>88</v>
      </c>
      <c r="I73" s="14" t="s">
        <v>88</v>
      </c>
      <c r="J73" s="13" t="s">
        <v>127</v>
      </c>
      <c r="K73" s="15"/>
      <c r="L73" s="15" t="str">
        <f>"130,0"</f>
        <v>130,0</v>
      </c>
      <c r="M73" s="15" t="str">
        <f>"100,5940"</f>
        <v>100,5940</v>
      </c>
      <c r="N73" s="12" t="s">
        <v>489</v>
      </c>
    </row>
    <row r="74" spans="1:14" ht="12.75">
      <c r="A74" s="15" t="s">
        <v>47</v>
      </c>
      <c r="B74" s="12" t="s">
        <v>490</v>
      </c>
      <c r="C74" s="12" t="s">
        <v>333</v>
      </c>
      <c r="D74" s="12" t="s">
        <v>90</v>
      </c>
      <c r="E74" s="12" t="str">
        <f>"0,7823"</f>
        <v>0,7823</v>
      </c>
      <c r="F74" s="12" t="s">
        <v>37</v>
      </c>
      <c r="G74" s="12" t="s">
        <v>14</v>
      </c>
      <c r="H74" s="13" t="s">
        <v>58</v>
      </c>
      <c r="I74" s="13" t="s">
        <v>58</v>
      </c>
      <c r="J74" s="14" t="s">
        <v>58</v>
      </c>
      <c r="K74" s="15"/>
      <c r="L74" s="15" t="str">
        <f>"125,0"</f>
        <v>125,0</v>
      </c>
      <c r="M74" s="15" t="str">
        <f>"97,7875"</f>
        <v>97,7875</v>
      </c>
      <c r="N74" s="12" t="s">
        <v>20</v>
      </c>
    </row>
    <row r="75" spans="1:14" ht="12.75">
      <c r="A75" s="15" t="s">
        <v>23</v>
      </c>
      <c r="B75" s="12" t="s">
        <v>491</v>
      </c>
      <c r="C75" s="12" t="s">
        <v>492</v>
      </c>
      <c r="D75" s="12" t="s">
        <v>493</v>
      </c>
      <c r="E75" s="12" t="str">
        <f>"0,7881"</f>
        <v>0,7881</v>
      </c>
      <c r="F75" s="12" t="s">
        <v>13</v>
      </c>
      <c r="G75" s="12" t="s">
        <v>494</v>
      </c>
      <c r="H75" s="14" t="s">
        <v>44</v>
      </c>
      <c r="I75" s="14" t="s">
        <v>92</v>
      </c>
      <c r="J75" s="14" t="s">
        <v>70</v>
      </c>
      <c r="K75" s="15"/>
      <c r="L75" s="15" t="str">
        <f>"160,0"</f>
        <v>160,0</v>
      </c>
      <c r="M75" s="15" t="str">
        <f>"126,0960"</f>
        <v>126,0960</v>
      </c>
      <c r="N75" s="12" t="s">
        <v>238</v>
      </c>
    </row>
    <row r="76" spans="1:14" ht="12.75">
      <c r="A76" s="15" t="s">
        <v>47</v>
      </c>
      <c r="B76" s="12" t="s">
        <v>495</v>
      </c>
      <c r="C76" s="12" t="s">
        <v>496</v>
      </c>
      <c r="D76" s="12" t="s">
        <v>497</v>
      </c>
      <c r="E76" s="12" t="str">
        <f>"0,7756"</f>
        <v>0,7756</v>
      </c>
      <c r="F76" s="12" t="s">
        <v>13</v>
      </c>
      <c r="G76" s="12" t="s">
        <v>498</v>
      </c>
      <c r="H76" s="14" t="s">
        <v>101</v>
      </c>
      <c r="I76" s="14" t="s">
        <v>44</v>
      </c>
      <c r="J76" s="14" t="s">
        <v>45</v>
      </c>
      <c r="K76" s="13" t="s">
        <v>92</v>
      </c>
      <c r="L76" s="15" t="str">
        <f>"150,0"</f>
        <v>150,0</v>
      </c>
      <c r="M76" s="15" t="str">
        <f>"116,3400"</f>
        <v>116,3400</v>
      </c>
      <c r="N76" s="12" t="s">
        <v>20</v>
      </c>
    </row>
    <row r="77" spans="1:14" ht="12.75">
      <c r="A77" s="15" t="s">
        <v>74</v>
      </c>
      <c r="B77" s="12" t="s">
        <v>499</v>
      </c>
      <c r="C77" s="12" t="s">
        <v>500</v>
      </c>
      <c r="D77" s="12" t="s">
        <v>501</v>
      </c>
      <c r="E77" s="12" t="str">
        <f>"0,7775"</f>
        <v>0,7775</v>
      </c>
      <c r="F77" s="12" t="s">
        <v>13</v>
      </c>
      <c r="G77" s="12" t="s">
        <v>14</v>
      </c>
      <c r="H77" s="14" t="s">
        <v>127</v>
      </c>
      <c r="I77" s="14" t="s">
        <v>44</v>
      </c>
      <c r="J77" s="13" t="s">
        <v>94</v>
      </c>
      <c r="K77" s="15"/>
      <c r="L77" s="15" t="str">
        <f>"145,0"</f>
        <v>145,0</v>
      </c>
      <c r="M77" s="15" t="str">
        <f>"112,7375"</f>
        <v>112,7375</v>
      </c>
      <c r="N77" s="12" t="s">
        <v>20</v>
      </c>
    </row>
    <row r="78" spans="1:14" ht="12.75">
      <c r="A78" s="15" t="s">
        <v>75</v>
      </c>
      <c r="B78" s="12" t="s">
        <v>502</v>
      </c>
      <c r="C78" s="12" t="s">
        <v>503</v>
      </c>
      <c r="D78" s="12" t="s">
        <v>89</v>
      </c>
      <c r="E78" s="12" t="str">
        <f>"0,7738"</f>
        <v>0,7738</v>
      </c>
      <c r="F78" s="12" t="s">
        <v>13</v>
      </c>
      <c r="G78" s="12" t="s">
        <v>504</v>
      </c>
      <c r="H78" s="14" t="s">
        <v>101</v>
      </c>
      <c r="I78" s="13" t="s">
        <v>116</v>
      </c>
      <c r="J78" s="13" t="s">
        <v>44</v>
      </c>
      <c r="K78" s="15"/>
      <c r="L78" s="15" t="str">
        <f>"140,0"</f>
        <v>140,0</v>
      </c>
      <c r="M78" s="15" t="str">
        <f>"108,3320"</f>
        <v>108,3320</v>
      </c>
      <c r="N78" s="12" t="s">
        <v>20</v>
      </c>
    </row>
    <row r="79" spans="1:14" ht="12.75">
      <c r="A79" s="15" t="s">
        <v>95</v>
      </c>
      <c r="B79" s="12" t="s">
        <v>505</v>
      </c>
      <c r="C79" s="12" t="s">
        <v>506</v>
      </c>
      <c r="D79" s="12" t="s">
        <v>114</v>
      </c>
      <c r="E79" s="12" t="str">
        <f>"0,7710"</f>
        <v>0,7710</v>
      </c>
      <c r="F79" s="12" t="s">
        <v>13</v>
      </c>
      <c r="G79" s="12" t="s">
        <v>14</v>
      </c>
      <c r="H79" s="13" t="s">
        <v>35</v>
      </c>
      <c r="I79" s="14" t="s">
        <v>35</v>
      </c>
      <c r="J79" s="13" t="s">
        <v>36</v>
      </c>
      <c r="K79" s="15"/>
      <c r="L79" s="15" t="str">
        <f>"105,0"</f>
        <v>105,0</v>
      </c>
      <c r="M79" s="15" t="str">
        <f>"80,9550"</f>
        <v>80,9550</v>
      </c>
      <c r="N79" s="12" t="s">
        <v>20</v>
      </c>
    </row>
    <row r="80" spans="1:14" ht="12.75">
      <c r="A80" s="15" t="s">
        <v>190</v>
      </c>
      <c r="B80" s="12" t="s">
        <v>507</v>
      </c>
      <c r="C80" s="12" t="s">
        <v>337</v>
      </c>
      <c r="D80" s="12" t="s">
        <v>508</v>
      </c>
      <c r="E80" s="12" t="str">
        <f>"0,8293"</f>
        <v>0,8293</v>
      </c>
      <c r="F80" s="12" t="s">
        <v>37</v>
      </c>
      <c r="G80" s="12" t="s">
        <v>14</v>
      </c>
      <c r="H80" s="14" t="s">
        <v>29</v>
      </c>
      <c r="I80" s="14" t="s">
        <v>34</v>
      </c>
      <c r="J80" s="13" t="s">
        <v>69</v>
      </c>
      <c r="K80" s="15"/>
      <c r="L80" s="15" t="str">
        <f>"100,0"</f>
        <v>100,0</v>
      </c>
      <c r="M80" s="15" t="str">
        <f>"82,9300"</f>
        <v>82,9300</v>
      </c>
      <c r="N80" s="12" t="s">
        <v>509</v>
      </c>
    </row>
    <row r="81" spans="1:14" ht="12.75">
      <c r="A81" s="15" t="s">
        <v>12</v>
      </c>
      <c r="B81" s="12" t="s">
        <v>510</v>
      </c>
      <c r="C81" s="12" t="s">
        <v>511</v>
      </c>
      <c r="D81" s="12" t="s">
        <v>322</v>
      </c>
      <c r="E81" s="12" t="str">
        <f>"0,7729"</f>
        <v>0,7729</v>
      </c>
      <c r="F81" s="12" t="s">
        <v>13</v>
      </c>
      <c r="G81" s="12" t="s">
        <v>14</v>
      </c>
      <c r="H81" s="13" t="s">
        <v>69</v>
      </c>
      <c r="I81" s="13" t="s">
        <v>69</v>
      </c>
      <c r="J81" s="13" t="s">
        <v>69</v>
      </c>
      <c r="K81" s="15"/>
      <c r="L81" s="15" t="str">
        <f>"0.00"</f>
        <v>0.00</v>
      </c>
      <c r="M81" s="15" t="str">
        <f>"0,0000"</f>
        <v>0,0000</v>
      </c>
      <c r="N81" s="12" t="s">
        <v>20</v>
      </c>
    </row>
    <row r="82" spans="1:14" ht="12.75">
      <c r="A82" s="15" t="s">
        <v>23</v>
      </c>
      <c r="B82" s="12" t="s">
        <v>502</v>
      </c>
      <c r="C82" s="12" t="s">
        <v>512</v>
      </c>
      <c r="D82" s="12" t="s">
        <v>89</v>
      </c>
      <c r="E82" s="12" t="str">
        <f>"0,7738"</f>
        <v>0,7738</v>
      </c>
      <c r="F82" s="12" t="s">
        <v>13</v>
      </c>
      <c r="G82" s="12" t="s">
        <v>504</v>
      </c>
      <c r="H82" s="14" t="s">
        <v>101</v>
      </c>
      <c r="I82" s="13" t="s">
        <v>116</v>
      </c>
      <c r="J82" s="13" t="s">
        <v>44</v>
      </c>
      <c r="K82" s="15"/>
      <c r="L82" s="15" t="str">
        <f>"140,0"</f>
        <v>140,0</v>
      </c>
      <c r="M82" s="15" t="str">
        <f>"108,3320"</f>
        <v>108,3320</v>
      </c>
      <c r="N82" s="12" t="s">
        <v>20</v>
      </c>
    </row>
    <row r="83" spans="1:14" ht="12.75">
      <c r="A83" s="15" t="s">
        <v>23</v>
      </c>
      <c r="B83" s="12" t="s">
        <v>495</v>
      </c>
      <c r="C83" s="12" t="s">
        <v>513</v>
      </c>
      <c r="D83" s="12" t="s">
        <v>497</v>
      </c>
      <c r="E83" s="12" t="str">
        <f>"0,7756"</f>
        <v>0,7756</v>
      </c>
      <c r="F83" s="12" t="s">
        <v>13</v>
      </c>
      <c r="G83" s="12" t="s">
        <v>514</v>
      </c>
      <c r="H83" s="14" t="s">
        <v>101</v>
      </c>
      <c r="I83" s="14" t="s">
        <v>44</v>
      </c>
      <c r="J83" s="14" t="s">
        <v>45</v>
      </c>
      <c r="K83" s="13" t="s">
        <v>92</v>
      </c>
      <c r="L83" s="15" t="str">
        <f>"150,0"</f>
        <v>150,0</v>
      </c>
      <c r="M83" s="15" t="str">
        <f>"135,8851"</f>
        <v>135,8851</v>
      </c>
      <c r="N83" s="12" t="s">
        <v>20</v>
      </c>
    </row>
    <row r="84" spans="1:14" ht="12.75">
      <c r="A84" s="19" t="s">
        <v>47</v>
      </c>
      <c r="B84" s="16" t="s">
        <v>515</v>
      </c>
      <c r="C84" s="16" t="s">
        <v>516</v>
      </c>
      <c r="D84" s="16" t="s">
        <v>517</v>
      </c>
      <c r="E84" s="16" t="str">
        <f>"0,7719"</f>
        <v>0,7719</v>
      </c>
      <c r="F84" s="16" t="s">
        <v>13</v>
      </c>
      <c r="G84" s="16" t="s">
        <v>518</v>
      </c>
      <c r="H84" s="17" t="s">
        <v>53</v>
      </c>
      <c r="I84" s="17" t="s">
        <v>58</v>
      </c>
      <c r="J84" s="18" t="s">
        <v>88</v>
      </c>
      <c r="K84" s="19"/>
      <c r="L84" s="19" t="str">
        <f>"125,0"</f>
        <v>125,0</v>
      </c>
      <c r="M84" s="19" t="str">
        <f>"122,8286"</f>
        <v>122,8286</v>
      </c>
      <c r="N84" s="16" t="s">
        <v>20</v>
      </c>
    </row>
    <row r="85" ht="12.75">
      <c r="B85" s="6" t="s">
        <v>21</v>
      </c>
    </row>
    <row r="86" spans="1:13" ht="15">
      <c r="A86" s="51" t="s">
        <v>96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4" ht="12.75">
      <c r="A87" s="11" t="s">
        <v>23</v>
      </c>
      <c r="B87" s="8" t="s">
        <v>519</v>
      </c>
      <c r="C87" s="8" t="s">
        <v>520</v>
      </c>
      <c r="D87" s="8" t="s">
        <v>231</v>
      </c>
      <c r="E87" s="8" t="str">
        <f>"0,7126"</f>
        <v>0,7126</v>
      </c>
      <c r="F87" s="8" t="s">
        <v>13</v>
      </c>
      <c r="G87" s="8" t="s">
        <v>521</v>
      </c>
      <c r="H87" s="9" t="s">
        <v>58</v>
      </c>
      <c r="I87" s="10" t="s">
        <v>88</v>
      </c>
      <c r="J87" s="10" t="s">
        <v>88</v>
      </c>
      <c r="K87" s="11"/>
      <c r="L87" s="11" t="str">
        <f>"125,0"</f>
        <v>125,0</v>
      </c>
      <c r="M87" s="11" t="str">
        <f>"89,0750"</f>
        <v>89,0750</v>
      </c>
      <c r="N87" s="8" t="s">
        <v>522</v>
      </c>
    </row>
    <row r="88" spans="1:14" ht="12.75">
      <c r="A88" s="15" t="s">
        <v>47</v>
      </c>
      <c r="B88" s="12" t="s">
        <v>124</v>
      </c>
      <c r="C88" s="12" t="s">
        <v>125</v>
      </c>
      <c r="D88" s="12" t="s">
        <v>126</v>
      </c>
      <c r="E88" s="12" t="str">
        <f>"0,7132"</f>
        <v>0,7132</v>
      </c>
      <c r="F88" s="12" t="s">
        <v>106</v>
      </c>
      <c r="G88" s="12" t="s">
        <v>107</v>
      </c>
      <c r="H88" s="13" t="s">
        <v>42</v>
      </c>
      <c r="I88" s="14" t="s">
        <v>42</v>
      </c>
      <c r="J88" s="14" t="s">
        <v>50</v>
      </c>
      <c r="K88" s="15"/>
      <c r="L88" s="15" t="str">
        <f>"60,0"</f>
        <v>60,0</v>
      </c>
      <c r="M88" s="15" t="str">
        <f>"42,7920"</f>
        <v>42,7920</v>
      </c>
      <c r="N88" s="12" t="s">
        <v>20</v>
      </c>
    </row>
    <row r="89" spans="1:14" ht="12.75">
      <c r="A89" s="15" t="s">
        <v>23</v>
      </c>
      <c r="B89" s="12" t="s">
        <v>523</v>
      </c>
      <c r="C89" s="12" t="s">
        <v>524</v>
      </c>
      <c r="D89" s="12" t="s">
        <v>276</v>
      </c>
      <c r="E89" s="12" t="str">
        <f>"0,7271"</f>
        <v>0,7271</v>
      </c>
      <c r="F89" s="12" t="s">
        <v>357</v>
      </c>
      <c r="G89" s="12" t="s">
        <v>525</v>
      </c>
      <c r="H89" s="13" t="s">
        <v>45</v>
      </c>
      <c r="I89" s="14" t="s">
        <v>45</v>
      </c>
      <c r="J89" s="13" t="s">
        <v>93</v>
      </c>
      <c r="K89" s="15"/>
      <c r="L89" s="15" t="str">
        <f>"150,0"</f>
        <v>150,0</v>
      </c>
      <c r="M89" s="15" t="str">
        <f>"109,0650"</f>
        <v>109,0650</v>
      </c>
      <c r="N89" s="12" t="s">
        <v>20</v>
      </c>
    </row>
    <row r="90" spans="1:14" ht="12.75">
      <c r="A90" s="15" t="s">
        <v>12</v>
      </c>
      <c r="B90" s="12" t="s">
        <v>526</v>
      </c>
      <c r="C90" s="12" t="s">
        <v>527</v>
      </c>
      <c r="D90" s="12" t="s">
        <v>528</v>
      </c>
      <c r="E90" s="12" t="str">
        <f>"0,7278"</f>
        <v>0,7278</v>
      </c>
      <c r="F90" s="12" t="s">
        <v>37</v>
      </c>
      <c r="G90" s="12" t="s">
        <v>14</v>
      </c>
      <c r="H90" s="13" t="s">
        <v>52</v>
      </c>
      <c r="I90" s="13" t="s">
        <v>52</v>
      </c>
      <c r="J90" s="13" t="s">
        <v>52</v>
      </c>
      <c r="K90" s="15"/>
      <c r="L90" s="34">
        <v>0</v>
      </c>
      <c r="M90" s="15" t="str">
        <f>"0,0000"</f>
        <v>0,0000</v>
      </c>
      <c r="N90" s="12" t="s">
        <v>529</v>
      </c>
    </row>
    <row r="91" spans="1:14" ht="12.75">
      <c r="A91" s="15" t="s">
        <v>23</v>
      </c>
      <c r="B91" s="12" t="s">
        <v>530</v>
      </c>
      <c r="C91" s="12" t="s">
        <v>531</v>
      </c>
      <c r="D91" s="12" t="s">
        <v>363</v>
      </c>
      <c r="E91" s="12" t="str">
        <f>"0,7437"</f>
        <v>0,7437</v>
      </c>
      <c r="F91" s="12" t="s">
        <v>13</v>
      </c>
      <c r="G91" s="12" t="s">
        <v>532</v>
      </c>
      <c r="H91" s="14" t="s">
        <v>100</v>
      </c>
      <c r="I91" s="14" t="s">
        <v>116</v>
      </c>
      <c r="J91" s="13" t="s">
        <v>45</v>
      </c>
      <c r="K91" s="15"/>
      <c r="L91" s="15" t="str">
        <f>"142,5"</f>
        <v>142,5</v>
      </c>
      <c r="M91" s="15" t="str">
        <f>"105,9773"</f>
        <v>105,9773</v>
      </c>
      <c r="N91" s="12" t="s">
        <v>533</v>
      </c>
    </row>
    <row r="92" spans="1:14" ht="12.75">
      <c r="A92" s="15" t="s">
        <v>47</v>
      </c>
      <c r="B92" s="12" t="s">
        <v>273</v>
      </c>
      <c r="C92" s="12" t="s">
        <v>274</v>
      </c>
      <c r="D92" s="12" t="s">
        <v>275</v>
      </c>
      <c r="E92" s="12" t="str">
        <f>"0,7152"</f>
        <v>0,7152</v>
      </c>
      <c r="F92" s="12" t="s">
        <v>259</v>
      </c>
      <c r="G92" s="12" t="s">
        <v>284</v>
      </c>
      <c r="H92" s="13" t="s">
        <v>43</v>
      </c>
      <c r="I92" s="14" t="s">
        <v>43</v>
      </c>
      <c r="J92" s="13" t="s">
        <v>44</v>
      </c>
      <c r="K92" s="15"/>
      <c r="L92" s="15" t="str">
        <f>"135,0"</f>
        <v>135,0</v>
      </c>
      <c r="M92" s="15" t="str">
        <f>"96,5520"</f>
        <v>96,5520</v>
      </c>
      <c r="N92" s="12" t="s">
        <v>20</v>
      </c>
    </row>
    <row r="93" spans="1:14" ht="12.75">
      <c r="A93" s="15" t="s">
        <v>74</v>
      </c>
      <c r="B93" s="12" t="s">
        <v>129</v>
      </c>
      <c r="C93" s="12" t="s">
        <v>130</v>
      </c>
      <c r="D93" s="12" t="s">
        <v>131</v>
      </c>
      <c r="E93" s="12" t="str">
        <f>"0,7469"</f>
        <v>0,7469</v>
      </c>
      <c r="F93" s="12" t="s">
        <v>13</v>
      </c>
      <c r="G93" s="12" t="s">
        <v>132</v>
      </c>
      <c r="H93" s="14" t="s">
        <v>91</v>
      </c>
      <c r="I93" s="13" t="s">
        <v>88</v>
      </c>
      <c r="J93" s="13" t="s">
        <v>88</v>
      </c>
      <c r="K93" s="15"/>
      <c r="L93" s="15" t="str">
        <f>"122,5"</f>
        <v>122,5</v>
      </c>
      <c r="M93" s="15" t="str">
        <f>"91,4953"</f>
        <v>91,4953</v>
      </c>
      <c r="N93" s="12" t="s">
        <v>20</v>
      </c>
    </row>
    <row r="94" spans="1:14" ht="12.75">
      <c r="A94" s="15" t="s">
        <v>75</v>
      </c>
      <c r="B94" s="12" t="s">
        <v>534</v>
      </c>
      <c r="C94" s="12" t="s">
        <v>535</v>
      </c>
      <c r="D94" s="12" t="s">
        <v>536</v>
      </c>
      <c r="E94" s="12" t="str">
        <f>"0,7486"</f>
        <v>0,7486</v>
      </c>
      <c r="F94" s="12" t="s">
        <v>106</v>
      </c>
      <c r="G94" s="12" t="s">
        <v>107</v>
      </c>
      <c r="H94" s="14" t="s">
        <v>73</v>
      </c>
      <c r="I94" s="13" t="s">
        <v>53</v>
      </c>
      <c r="J94" s="14" t="s">
        <v>53</v>
      </c>
      <c r="K94" s="15"/>
      <c r="L94" s="15" t="str">
        <f>"120,0"</f>
        <v>120,0</v>
      </c>
      <c r="M94" s="15" t="str">
        <f>"89,8320"</f>
        <v>89,8320</v>
      </c>
      <c r="N94" s="12" t="s">
        <v>20</v>
      </c>
    </row>
    <row r="95" spans="1:14" ht="12.75">
      <c r="A95" s="15" t="s">
        <v>95</v>
      </c>
      <c r="B95" s="12" t="s">
        <v>537</v>
      </c>
      <c r="C95" s="12" t="s">
        <v>538</v>
      </c>
      <c r="D95" s="12" t="s">
        <v>539</v>
      </c>
      <c r="E95" s="12" t="str">
        <f>"0,7264"</f>
        <v>0,7264</v>
      </c>
      <c r="F95" s="12" t="s">
        <v>13</v>
      </c>
      <c r="G95" s="12" t="s">
        <v>540</v>
      </c>
      <c r="H95" s="13" t="s">
        <v>52</v>
      </c>
      <c r="I95" s="14" t="s">
        <v>52</v>
      </c>
      <c r="J95" s="14" t="s">
        <v>53</v>
      </c>
      <c r="K95" s="15"/>
      <c r="L95" s="15" t="str">
        <f>"120,0"</f>
        <v>120,0</v>
      </c>
      <c r="M95" s="15" t="str">
        <f>"87,1680"</f>
        <v>87,1680</v>
      </c>
      <c r="N95" s="12" t="s">
        <v>541</v>
      </c>
    </row>
    <row r="96" spans="1:14" ht="12.75">
      <c r="A96" s="15" t="s">
        <v>190</v>
      </c>
      <c r="B96" s="12" t="s">
        <v>542</v>
      </c>
      <c r="C96" s="12" t="s">
        <v>543</v>
      </c>
      <c r="D96" s="12" t="s">
        <v>544</v>
      </c>
      <c r="E96" s="12" t="str">
        <f>"0,7228"</f>
        <v>0,7228</v>
      </c>
      <c r="F96" s="12" t="s">
        <v>13</v>
      </c>
      <c r="G96" s="12" t="s">
        <v>346</v>
      </c>
      <c r="H96" s="14" t="s">
        <v>36</v>
      </c>
      <c r="I96" s="14" t="s">
        <v>52</v>
      </c>
      <c r="J96" s="14" t="s">
        <v>53</v>
      </c>
      <c r="K96" s="15"/>
      <c r="L96" s="15" t="str">
        <f>"120,0"</f>
        <v>120,0</v>
      </c>
      <c r="M96" s="15" t="str">
        <f>"86,7360"</f>
        <v>86,7360</v>
      </c>
      <c r="N96" s="12" t="s">
        <v>545</v>
      </c>
    </row>
    <row r="97" spans="1:14" ht="12.75">
      <c r="A97" s="15" t="s">
        <v>23</v>
      </c>
      <c r="B97" s="12" t="s">
        <v>546</v>
      </c>
      <c r="C97" s="12" t="s">
        <v>547</v>
      </c>
      <c r="D97" s="12" t="s">
        <v>272</v>
      </c>
      <c r="E97" s="12" t="str">
        <f>"0,7159"</f>
        <v>0,7159</v>
      </c>
      <c r="F97" s="12" t="s">
        <v>13</v>
      </c>
      <c r="G97" s="12" t="s">
        <v>548</v>
      </c>
      <c r="H97" s="14" t="s">
        <v>162</v>
      </c>
      <c r="I97" s="14" t="s">
        <v>138</v>
      </c>
      <c r="J97" s="13" t="s">
        <v>195</v>
      </c>
      <c r="K97" s="15"/>
      <c r="L97" s="15" t="str">
        <f>"170,0"</f>
        <v>170,0</v>
      </c>
      <c r="M97" s="15" t="str">
        <f>"121,7030"</f>
        <v>121,7030</v>
      </c>
      <c r="N97" s="12" t="s">
        <v>20</v>
      </c>
    </row>
    <row r="98" spans="1:14" ht="12.75">
      <c r="A98" s="15" t="s">
        <v>47</v>
      </c>
      <c r="B98" s="12" t="s">
        <v>549</v>
      </c>
      <c r="C98" s="12" t="s">
        <v>550</v>
      </c>
      <c r="D98" s="12" t="s">
        <v>325</v>
      </c>
      <c r="E98" s="12" t="str">
        <f>"0,7207"</f>
        <v>0,7207</v>
      </c>
      <c r="F98" s="12" t="s">
        <v>37</v>
      </c>
      <c r="G98" s="12" t="s">
        <v>551</v>
      </c>
      <c r="H98" s="14" t="s">
        <v>93</v>
      </c>
      <c r="I98" s="14" t="s">
        <v>70</v>
      </c>
      <c r="J98" s="13" t="s">
        <v>71</v>
      </c>
      <c r="K98" s="15"/>
      <c r="L98" s="15" t="str">
        <f>"160,0"</f>
        <v>160,0</v>
      </c>
      <c r="M98" s="15" t="str">
        <f>"115,3120"</f>
        <v>115,3120</v>
      </c>
      <c r="N98" s="12" t="s">
        <v>20</v>
      </c>
    </row>
    <row r="99" spans="1:14" ht="12.75">
      <c r="A99" s="15" t="s">
        <v>74</v>
      </c>
      <c r="B99" s="12" t="s">
        <v>552</v>
      </c>
      <c r="C99" s="12" t="s">
        <v>553</v>
      </c>
      <c r="D99" s="12" t="s">
        <v>554</v>
      </c>
      <c r="E99" s="12" t="str">
        <f>"0,7398"</f>
        <v>0,7398</v>
      </c>
      <c r="F99" s="12" t="s">
        <v>13</v>
      </c>
      <c r="G99" s="12" t="s">
        <v>555</v>
      </c>
      <c r="H99" s="14" t="s">
        <v>94</v>
      </c>
      <c r="I99" s="14" t="s">
        <v>92</v>
      </c>
      <c r="J99" s="13" t="s">
        <v>93</v>
      </c>
      <c r="K99" s="15"/>
      <c r="L99" s="15" t="str">
        <f>"152,5"</f>
        <v>152,5</v>
      </c>
      <c r="M99" s="15" t="str">
        <f>"112,8195"</f>
        <v>112,8195</v>
      </c>
      <c r="N99" s="12" t="s">
        <v>20</v>
      </c>
    </row>
    <row r="100" spans="1:14" ht="12.75">
      <c r="A100" s="15" t="s">
        <v>75</v>
      </c>
      <c r="B100" s="12" t="s">
        <v>556</v>
      </c>
      <c r="C100" s="12" t="s">
        <v>557</v>
      </c>
      <c r="D100" s="12" t="s">
        <v>275</v>
      </c>
      <c r="E100" s="12" t="str">
        <f>"0,7152"</f>
        <v>0,7152</v>
      </c>
      <c r="F100" s="12" t="s">
        <v>13</v>
      </c>
      <c r="G100" s="12" t="s">
        <v>14</v>
      </c>
      <c r="H100" s="13" t="s">
        <v>44</v>
      </c>
      <c r="I100" s="14" t="s">
        <v>92</v>
      </c>
      <c r="J100" s="13" t="s">
        <v>70</v>
      </c>
      <c r="K100" s="15"/>
      <c r="L100" s="15" t="str">
        <f>"152,5"</f>
        <v>152,5</v>
      </c>
      <c r="M100" s="15" t="str">
        <f>"109,0680"</f>
        <v>109,0680</v>
      </c>
      <c r="N100" s="12" t="s">
        <v>558</v>
      </c>
    </row>
    <row r="101" spans="1:14" ht="12.75">
      <c r="A101" s="15" t="s">
        <v>95</v>
      </c>
      <c r="B101" s="12" t="s">
        <v>523</v>
      </c>
      <c r="C101" s="12" t="s">
        <v>559</v>
      </c>
      <c r="D101" s="12" t="s">
        <v>276</v>
      </c>
      <c r="E101" s="12" t="str">
        <f>"0,7271"</f>
        <v>0,7271</v>
      </c>
      <c r="F101" s="12" t="s">
        <v>357</v>
      </c>
      <c r="G101" s="12" t="s">
        <v>525</v>
      </c>
      <c r="H101" s="13" t="s">
        <v>45</v>
      </c>
      <c r="I101" s="14" t="s">
        <v>45</v>
      </c>
      <c r="J101" s="13" t="s">
        <v>93</v>
      </c>
      <c r="K101" s="15"/>
      <c r="L101" s="15" t="str">
        <f>"150,0"</f>
        <v>150,0</v>
      </c>
      <c r="M101" s="15" t="str">
        <f>"109,0650"</f>
        <v>109,0650</v>
      </c>
      <c r="N101" s="12" t="s">
        <v>20</v>
      </c>
    </row>
    <row r="102" spans="1:14" ht="12.75">
      <c r="A102" s="15" t="s">
        <v>190</v>
      </c>
      <c r="B102" s="12" t="s">
        <v>560</v>
      </c>
      <c r="C102" s="12" t="s">
        <v>561</v>
      </c>
      <c r="D102" s="12" t="s">
        <v>562</v>
      </c>
      <c r="E102" s="12" t="str">
        <f>"0,7242"</f>
        <v>0,7242</v>
      </c>
      <c r="F102" s="12" t="s">
        <v>13</v>
      </c>
      <c r="G102" s="12" t="s">
        <v>237</v>
      </c>
      <c r="H102" s="14" t="s">
        <v>43</v>
      </c>
      <c r="I102" s="13" t="s">
        <v>101</v>
      </c>
      <c r="J102" s="13" t="s">
        <v>101</v>
      </c>
      <c r="K102" s="15"/>
      <c r="L102" s="15" t="str">
        <f>"135,0"</f>
        <v>135,0</v>
      </c>
      <c r="M102" s="15" t="str">
        <f>"97,7670"</f>
        <v>97,7670</v>
      </c>
      <c r="N102" s="12" t="s">
        <v>563</v>
      </c>
    </row>
    <row r="103" spans="1:14" ht="12.75">
      <c r="A103" s="15" t="s">
        <v>336</v>
      </c>
      <c r="B103" s="12" t="s">
        <v>564</v>
      </c>
      <c r="C103" s="12" t="s">
        <v>565</v>
      </c>
      <c r="D103" s="12" t="s">
        <v>361</v>
      </c>
      <c r="E103" s="12" t="str">
        <f>"0,7200"</f>
        <v>0,7200</v>
      </c>
      <c r="F103" s="12" t="s">
        <v>37</v>
      </c>
      <c r="G103" s="12" t="s">
        <v>14</v>
      </c>
      <c r="H103" s="13" t="s">
        <v>43</v>
      </c>
      <c r="I103" s="14" t="s">
        <v>43</v>
      </c>
      <c r="J103" s="13" t="s">
        <v>127</v>
      </c>
      <c r="K103" s="15"/>
      <c r="L103" s="15" t="str">
        <f>"135,0"</f>
        <v>135,0</v>
      </c>
      <c r="M103" s="15" t="str">
        <f>"97,2000"</f>
        <v>97,2000</v>
      </c>
      <c r="N103" s="12" t="s">
        <v>566</v>
      </c>
    </row>
    <row r="104" spans="1:14" ht="12.75">
      <c r="A104" s="15" t="s">
        <v>338</v>
      </c>
      <c r="B104" s="12" t="s">
        <v>359</v>
      </c>
      <c r="C104" s="12" t="s">
        <v>360</v>
      </c>
      <c r="D104" s="12" t="s">
        <v>361</v>
      </c>
      <c r="E104" s="12" t="str">
        <f>"0,7200"</f>
        <v>0,7200</v>
      </c>
      <c r="F104" s="12" t="s">
        <v>357</v>
      </c>
      <c r="G104" s="12" t="s">
        <v>358</v>
      </c>
      <c r="H104" s="14" t="s">
        <v>43</v>
      </c>
      <c r="I104" s="13" t="s">
        <v>44</v>
      </c>
      <c r="J104" s="13" t="s">
        <v>44</v>
      </c>
      <c r="K104" s="15"/>
      <c r="L104" s="15" t="str">
        <f>"135,0"</f>
        <v>135,0</v>
      </c>
      <c r="M104" s="15" t="str">
        <f>"97,2000"</f>
        <v>97,2000</v>
      </c>
      <c r="N104" s="12" t="s">
        <v>362</v>
      </c>
    </row>
    <row r="105" spans="1:14" ht="12.75">
      <c r="A105" s="15" t="s">
        <v>347</v>
      </c>
      <c r="B105" s="12" t="s">
        <v>567</v>
      </c>
      <c r="C105" s="12" t="s">
        <v>568</v>
      </c>
      <c r="D105" s="12" t="s">
        <v>569</v>
      </c>
      <c r="E105" s="12" t="str">
        <f>"0,7186"</f>
        <v>0,7186</v>
      </c>
      <c r="F105" s="12" t="s">
        <v>13</v>
      </c>
      <c r="G105" s="12" t="s">
        <v>14</v>
      </c>
      <c r="H105" s="13" t="s">
        <v>53</v>
      </c>
      <c r="I105" s="14" t="s">
        <v>67</v>
      </c>
      <c r="J105" s="14" t="s">
        <v>43</v>
      </c>
      <c r="K105" s="15"/>
      <c r="L105" s="15" t="str">
        <f>"135,0"</f>
        <v>135,0</v>
      </c>
      <c r="M105" s="15" t="str">
        <f>"97,0110"</f>
        <v>97,0110</v>
      </c>
      <c r="N105" s="12" t="s">
        <v>570</v>
      </c>
    </row>
    <row r="106" spans="1:14" ht="12.75">
      <c r="A106" s="15" t="s">
        <v>571</v>
      </c>
      <c r="B106" s="12" t="s">
        <v>273</v>
      </c>
      <c r="C106" s="12" t="s">
        <v>283</v>
      </c>
      <c r="D106" s="12" t="s">
        <v>275</v>
      </c>
      <c r="E106" s="12" t="str">
        <f>"0,7152"</f>
        <v>0,7152</v>
      </c>
      <c r="F106" s="12" t="s">
        <v>259</v>
      </c>
      <c r="G106" s="12" t="s">
        <v>284</v>
      </c>
      <c r="H106" s="13" t="s">
        <v>43</v>
      </c>
      <c r="I106" s="14" t="s">
        <v>43</v>
      </c>
      <c r="J106" s="13" t="s">
        <v>44</v>
      </c>
      <c r="K106" s="15"/>
      <c r="L106" s="15" t="str">
        <f>"135,0"</f>
        <v>135,0</v>
      </c>
      <c r="M106" s="15" t="str">
        <f>"96,5520"</f>
        <v>96,5520</v>
      </c>
      <c r="N106" s="12" t="s">
        <v>20</v>
      </c>
    </row>
    <row r="107" spans="1:14" ht="12.75">
      <c r="A107" s="15" t="s">
        <v>572</v>
      </c>
      <c r="B107" s="12" t="s">
        <v>573</v>
      </c>
      <c r="C107" s="12" t="s">
        <v>574</v>
      </c>
      <c r="D107" s="12" t="s">
        <v>575</v>
      </c>
      <c r="E107" s="12" t="str">
        <f>"0,7193"</f>
        <v>0,7193</v>
      </c>
      <c r="F107" s="12" t="s">
        <v>13</v>
      </c>
      <c r="G107" s="12" t="s">
        <v>576</v>
      </c>
      <c r="H107" s="13" t="s">
        <v>67</v>
      </c>
      <c r="I107" s="14" t="s">
        <v>67</v>
      </c>
      <c r="J107" s="13" t="s">
        <v>43</v>
      </c>
      <c r="K107" s="15"/>
      <c r="L107" s="15" t="str">
        <f>"127,5"</f>
        <v>127,5</v>
      </c>
      <c r="M107" s="15" t="str">
        <f>"91,7107"</f>
        <v>91,7107</v>
      </c>
      <c r="N107" s="12" t="s">
        <v>20</v>
      </c>
    </row>
    <row r="108" spans="1:14" ht="12.75">
      <c r="A108" s="15" t="s">
        <v>577</v>
      </c>
      <c r="B108" s="12" t="s">
        <v>286</v>
      </c>
      <c r="C108" s="12" t="s">
        <v>287</v>
      </c>
      <c r="D108" s="12" t="s">
        <v>231</v>
      </c>
      <c r="E108" s="12" t="str">
        <f>"0,7126"</f>
        <v>0,7126</v>
      </c>
      <c r="F108" s="12" t="s">
        <v>259</v>
      </c>
      <c r="G108" s="12" t="s">
        <v>260</v>
      </c>
      <c r="H108" s="14" t="s">
        <v>53</v>
      </c>
      <c r="I108" s="14" t="s">
        <v>67</v>
      </c>
      <c r="J108" s="13" t="s">
        <v>88</v>
      </c>
      <c r="K108" s="15"/>
      <c r="L108" s="15" t="str">
        <f>"127,5"</f>
        <v>127,5</v>
      </c>
      <c r="M108" s="15" t="str">
        <f>"90,8565"</f>
        <v>90,8565</v>
      </c>
      <c r="N108" s="12" t="s">
        <v>288</v>
      </c>
    </row>
    <row r="109" spans="1:14" ht="12.75">
      <c r="A109" s="15" t="s">
        <v>578</v>
      </c>
      <c r="B109" s="12" t="s">
        <v>579</v>
      </c>
      <c r="C109" s="12" t="s">
        <v>580</v>
      </c>
      <c r="D109" s="12" t="s">
        <v>544</v>
      </c>
      <c r="E109" s="12" t="str">
        <f>"0,7228"</f>
        <v>0,7228</v>
      </c>
      <c r="F109" s="12" t="s">
        <v>13</v>
      </c>
      <c r="G109" s="12" t="s">
        <v>581</v>
      </c>
      <c r="H109" s="14" t="s">
        <v>52</v>
      </c>
      <c r="I109" s="14" t="s">
        <v>58</v>
      </c>
      <c r="J109" s="13" t="s">
        <v>100</v>
      </c>
      <c r="K109" s="15"/>
      <c r="L109" s="15" t="str">
        <f>"125,0"</f>
        <v>125,0</v>
      </c>
      <c r="M109" s="15" t="str">
        <f>"90,3500"</f>
        <v>90,3500</v>
      </c>
      <c r="N109" s="12" t="s">
        <v>20</v>
      </c>
    </row>
    <row r="110" spans="1:14" ht="12.75">
      <c r="A110" s="15" t="s">
        <v>582</v>
      </c>
      <c r="B110" s="12" t="s">
        <v>534</v>
      </c>
      <c r="C110" s="12" t="s">
        <v>583</v>
      </c>
      <c r="D110" s="12" t="s">
        <v>536</v>
      </c>
      <c r="E110" s="12" t="str">
        <f>"0,7486"</f>
        <v>0,7486</v>
      </c>
      <c r="F110" s="12" t="s">
        <v>106</v>
      </c>
      <c r="G110" s="12" t="s">
        <v>107</v>
      </c>
      <c r="H110" s="14" t="s">
        <v>73</v>
      </c>
      <c r="I110" s="13" t="s">
        <v>53</v>
      </c>
      <c r="J110" s="14" t="s">
        <v>53</v>
      </c>
      <c r="K110" s="15"/>
      <c r="L110" s="15" t="str">
        <f>"120,0"</f>
        <v>120,0</v>
      </c>
      <c r="M110" s="15" t="str">
        <f>"89,8320"</f>
        <v>89,8320</v>
      </c>
      <c r="N110" s="12" t="s">
        <v>20</v>
      </c>
    </row>
    <row r="111" spans="1:14" ht="12.75">
      <c r="A111" s="15" t="s">
        <v>12</v>
      </c>
      <c r="B111" s="12" t="s">
        <v>584</v>
      </c>
      <c r="C111" s="12" t="s">
        <v>585</v>
      </c>
      <c r="D111" s="12" t="s">
        <v>272</v>
      </c>
      <c r="E111" s="12" t="str">
        <f>"0,7159"</f>
        <v>0,7159</v>
      </c>
      <c r="F111" s="12" t="s">
        <v>13</v>
      </c>
      <c r="G111" s="12" t="s">
        <v>586</v>
      </c>
      <c r="H111" s="13" t="s">
        <v>93</v>
      </c>
      <c r="I111" s="15"/>
      <c r="J111" s="15"/>
      <c r="K111" s="15"/>
      <c r="L111" s="34">
        <v>0</v>
      </c>
      <c r="M111" s="15" t="str">
        <f>"0,0000"</f>
        <v>0,0000</v>
      </c>
      <c r="N111" s="12" t="s">
        <v>587</v>
      </c>
    </row>
    <row r="112" spans="1:14" ht="12.75">
      <c r="A112" s="15" t="s">
        <v>23</v>
      </c>
      <c r="B112" s="12" t="s">
        <v>588</v>
      </c>
      <c r="C112" s="12" t="s">
        <v>589</v>
      </c>
      <c r="D112" s="12" t="s">
        <v>324</v>
      </c>
      <c r="E112" s="12" t="str">
        <f>"0,7139"</f>
        <v>0,7139</v>
      </c>
      <c r="F112" s="12" t="s">
        <v>83</v>
      </c>
      <c r="G112" s="12" t="s">
        <v>590</v>
      </c>
      <c r="H112" s="14" t="s">
        <v>43</v>
      </c>
      <c r="I112" s="14" t="s">
        <v>101</v>
      </c>
      <c r="J112" s="13" t="s">
        <v>116</v>
      </c>
      <c r="K112" s="15"/>
      <c r="L112" s="15" t="str">
        <f>"140,0"</f>
        <v>140,0</v>
      </c>
      <c r="M112" s="15" t="str">
        <f>"102,7445"</f>
        <v>102,7445</v>
      </c>
      <c r="N112" s="12" t="s">
        <v>20</v>
      </c>
    </row>
    <row r="113" spans="1:14" ht="12.75">
      <c r="A113" s="19" t="s">
        <v>47</v>
      </c>
      <c r="B113" s="16" t="s">
        <v>591</v>
      </c>
      <c r="C113" s="16" t="s">
        <v>592</v>
      </c>
      <c r="D113" s="16" t="s">
        <v>126</v>
      </c>
      <c r="E113" s="16" t="str">
        <f>"0,7132"</f>
        <v>0,7132</v>
      </c>
      <c r="F113" s="16" t="s">
        <v>13</v>
      </c>
      <c r="G113" s="16" t="s">
        <v>581</v>
      </c>
      <c r="H113" s="17" t="s">
        <v>88</v>
      </c>
      <c r="I113" s="17" t="s">
        <v>43</v>
      </c>
      <c r="J113" s="17" t="s">
        <v>127</v>
      </c>
      <c r="K113" s="19"/>
      <c r="L113" s="19" t="str">
        <f>"137,5"</f>
        <v>137,5</v>
      </c>
      <c r="M113" s="19" t="str">
        <f>"99,4379"</f>
        <v>99,4379</v>
      </c>
      <c r="N113" s="16" t="s">
        <v>20</v>
      </c>
    </row>
    <row r="114" ht="12.75">
      <c r="B114" s="6" t="s">
        <v>21</v>
      </c>
    </row>
    <row r="115" spans="1:13" ht="15">
      <c r="A115" s="51" t="s">
        <v>109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4" ht="12.75">
      <c r="A116" s="11" t="s">
        <v>23</v>
      </c>
      <c r="B116" s="8" t="s">
        <v>593</v>
      </c>
      <c r="C116" s="8" t="s">
        <v>594</v>
      </c>
      <c r="D116" s="8" t="s">
        <v>301</v>
      </c>
      <c r="E116" s="8" t="str">
        <f>"0,6838"</f>
        <v>0,6838</v>
      </c>
      <c r="F116" s="8" t="s">
        <v>13</v>
      </c>
      <c r="G116" s="8" t="s">
        <v>246</v>
      </c>
      <c r="H116" s="9" t="s">
        <v>100</v>
      </c>
      <c r="I116" s="9" t="s">
        <v>101</v>
      </c>
      <c r="J116" s="10" t="s">
        <v>44</v>
      </c>
      <c r="K116" s="11"/>
      <c r="L116" s="11" t="str">
        <f>"140,0"</f>
        <v>140,0</v>
      </c>
      <c r="M116" s="11" t="str">
        <f>"95,7320"</f>
        <v>95,7320</v>
      </c>
      <c r="N116" s="8" t="s">
        <v>20</v>
      </c>
    </row>
    <row r="117" spans="1:14" ht="12.75">
      <c r="A117" s="15" t="s">
        <v>47</v>
      </c>
      <c r="B117" s="12" t="s">
        <v>595</v>
      </c>
      <c r="C117" s="12" t="s">
        <v>596</v>
      </c>
      <c r="D117" s="12" t="s">
        <v>289</v>
      </c>
      <c r="E117" s="12" t="str">
        <f>"0,6739"</f>
        <v>0,6739</v>
      </c>
      <c r="F117" s="12" t="s">
        <v>13</v>
      </c>
      <c r="G117" s="12" t="s">
        <v>285</v>
      </c>
      <c r="H117" s="14" t="s">
        <v>67</v>
      </c>
      <c r="I117" s="13" t="s">
        <v>100</v>
      </c>
      <c r="J117" s="13" t="s">
        <v>127</v>
      </c>
      <c r="K117" s="15"/>
      <c r="L117" s="15" t="str">
        <f>"127,5"</f>
        <v>127,5</v>
      </c>
      <c r="M117" s="15" t="str">
        <f>"85,9223"</f>
        <v>85,9223</v>
      </c>
      <c r="N117" s="12" t="s">
        <v>597</v>
      </c>
    </row>
    <row r="118" spans="1:14" ht="12.75">
      <c r="A118" s="15" t="s">
        <v>74</v>
      </c>
      <c r="B118" s="12" t="s">
        <v>598</v>
      </c>
      <c r="C118" s="12" t="s">
        <v>599</v>
      </c>
      <c r="D118" s="12" t="s">
        <v>143</v>
      </c>
      <c r="E118" s="12" t="str">
        <f>"0,6709"</f>
        <v>0,6709</v>
      </c>
      <c r="F118" s="12" t="s">
        <v>600</v>
      </c>
      <c r="G118" s="12" t="s">
        <v>601</v>
      </c>
      <c r="H118" s="13" t="s">
        <v>34</v>
      </c>
      <c r="I118" s="13" t="s">
        <v>34</v>
      </c>
      <c r="J118" s="14" t="s">
        <v>35</v>
      </c>
      <c r="K118" s="15"/>
      <c r="L118" s="15" t="str">
        <f>"105,0"</f>
        <v>105,0</v>
      </c>
      <c r="M118" s="15" t="str">
        <f>"70,4445"</f>
        <v>70,4445</v>
      </c>
      <c r="N118" s="12" t="s">
        <v>20</v>
      </c>
    </row>
    <row r="119" spans="1:14" ht="12.75">
      <c r="A119" s="15" t="s">
        <v>12</v>
      </c>
      <c r="B119" s="12" t="s">
        <v>602</v>
      </c>
      <c r="C119" s="12" t="s">
        <v>603</v>
      </c>
      <c r="D119" s="12" t="s">
        <v>604</v>
      </c>
      <c r="E119" s="12" t="str">
        <f>"0,6816"</f>
        <v>0,6816</v>
      </c>
      <c r="F119" s="12" t="s">
        <v>13</v>
      </c>
      <c r="G119" s="12" t="s">
        <v>14</v>
      </c>
      <c r="H119" s="13" t="s">
        <v>58</v>
      </c>
      <c r="I119" s="13" t="s">
        <v>58</v>
      </c>
      <c r="J119" s="13" t="s">
        <v>58</v>
      </c>
      <c r="K119" s="15"/>
      <c r="L119" s="15" t="str">
        <f>"0.00"</f>
        <v>0.00</v>
      </c>
      <c r="M119" s="15" t="str">
        <f>"0,0000"</f>
        <v>0,0000</v>
      </c>
      <c r="N119" s="12" t="s">
        <v>299</v>
      </c>
    </row>
    <row r="120" spans="1:14" ht="12.75">
      <c r="A120" s="15" t="s">
        <v>23</v>
      </c>
      <c r="B120" s="12" t="s">
        <v>605</v>
      </c>
      <c r="C120" s="12" t="s">
        <v>606</v>
      </c>
      <c r="D120" s="12" t="s">
        <v>289</v>
      </c>
      <c r="E120" s="12" t="str">
        <f>"0,6739"</f>
        <v>0,6739</v>
      </c>
      <c r="F120" s="12" t="s">
        <v>13</v>
      </c>
      <c r="G120" s="12" t="s">
        <v>437</v>
      </c>
      <c r="H120" s="14" t="s">
        <v>162</v>
      </c>
      <c r="I120" s="14" t="s">
        <v>195</v>
      </c>
      <c r="J120" s="13" t="s">
        <v>133</v>
      </c>
      <c r="K120" s="15"/>
      <c r="L120" s="15" t="str">
        <f>"172,5"</f>
        <v>172,5</v>
      </c>
      <c r="M120" s="15" t="str">
        <f>"116,2478"</f>
        <v>116,2478</v>
      </c>
      <c r="N120" s="12" t="s">
        <v>20</v>
      </c>
    </row>
    <row r="121" spans="1:14" ht="12.75">
      <c r="A121" s="15" t="s">
        <v>47</v>
      </c>
      <c r="B121" s="12" t="s">
        <v>607</v>
      </c>
      <c r="C121" s="12" t="s">
        <v>608</v>
      </c>
      <c r="D121" s="12" t="s">
        <v>326</v>
      </c>
      <c r="E121" s="12" t="str">
        <f>"0,6795"</f>
        <v>0,6795</v>
      </c>
      <c r="F121" s="12" t="s">
        <v>13</v>
      </c>
      <c r="G121" s="12" t="s">
        <v>246</v>
      </c>
      <c r="H121" s="14" t="s">
        <v>45</v>
      </c>
      <c r="I121" s="14" t="s">
        <v>70</v>
      </c>
      <c r="J121" s="13" t="s">
        <v>162</v>
      </c>
      <c r="K121" s="15"/>
      <c r="L121" s="15" t="str">
        <f>"160,0"</f>
        <v>160,0</v>
      </c>
      <c r="M121" s="15" t="str">
        <f>"108,7200"</f>
        <v>108,7200</v>
      </c>
      <c r="N121" s="12" t="s">
        <v>20</v>
      </c>
    </row>
    <row r="122" spans="1:14" ht="12.75">
      <c r="A122" s="15" t="s">
        <v>74</v>
      </c>
      <c r="B122" s="12" t="s">
        <v>609</v>
      </c>
      <c r="C122" s="12" t="s">
        <v>610</v>
      </c>
      <c r="D122" s="12" t="s">
        <v>611</v>
      </c>
      <c r="E122" s="12" t="str">
        <f>"0,7042"</f>
        <v>0,7042</v>
      </c>
      <c r="F122" s="12" t="s">
        <v>13</v>
      </c>
      <c r="G122" s="12" t="s">
        <v>612</v>
      </c>
      <c r="H122" s="14" t="s">
        <v>88</v>
      </c>
      <c r="I122" s="14" t="s">
        <v>101</v>
      </c>
      <c r="J122" s="14" t="s">
        <v>44</v>
      </c>
      <c r="K122" s="15"/>
      <c r="L122" s="15" t="str">
        <f>"145,0"</f>
        <v>145,0</v>
      </c>
      <c r="M122" s="15" t="str">
        <f>"102,1090"</f>
        <v>102,1090</v>
      </c>
      <c r="N122" s="12" t="s">
        <v>412</v>
      </c>
    </row>
    <row r="123" spans="1:14" ht="12.75">
      <c r="A123" s="15" t="s">
        <v>75</v>
      </c>
      <c r="B123" s="12" t="s">
        <v>295</v>
      </c>
      <c r="C123" s="12" t="s">
        <v>296</v>
      </c>
      <c r="D123" s="12" t="s">
        <v>297</v>
      </c>
      <c r="E123" s="12" t="str">
        <f>"0,6849"</f>
        <v>0,6849</v>
      </c>
      <c r="F123" s="12" t="s">
        <v>13</v>
      </c>
      <c r="G123" s="12" t="s">
        <v>298</v>
      </c>
      <c r="H123" s="14" t="s">
        <v>101</v>
      </c>
      <c r="I123" s="14" t="s">
        <v>44</v>
      </c>
      <c r="J123" s="13" t="s">
        <v>92</v>
      </c>
      <c r="K123" s="15"/>
      <c r="L123" s="15" t="str">
        <f>"145,0"</f>
        <v>145,0</v>
      </c>
      <c r="M123" s="15" t="str">
        <f>"99,3105"</f>
        <v>99,3105</v>
      </c>
      <c r="N123" s="12" t="s">
        <v>299</v>
      </c>
    </row>
    <row r="124" spans="1:14" ht="12.75">
      <c r="A124" s="15" t="s">
        <v>95</v>
      </c>
      <c r="B124" s="12" t="s">
        <v>613</v>
      </c>
      <c r="C124" s="12" t="s">
        <v>614</v>
      </c>
      <c r="D124" s="12" t="s">
        <v>615</v>
      </c>
      <c r="E124" s="12" t="str">
        <f>"0,6764"</f>
        <v>0,6764</v>
      </c>
      <c r="F124" s="12" t="s">
        <v>13</v>
      </c>
      <c r="G124" s="12" t="s">
        <v>14</v>
      </c>
      <c r="H124" s="14" t="s">
        <v>88</v>
      </c>
      <c r="I124" s="14" t="s">
        <v>127</v>
      </c>
      <c r="J124" s="13" t="s">
        <v>44</v>
      </c>
      <c r="K124" s="15"/>
      <c r="L124" s="15" t="str">
        <f>"137,5"</f>
        <v>137,5</v>
      </c>
      <c r="M124" s="15" t="str">
        <f>"93,0050"</f>
        <v>93,0050</v>
      </c>
      <c r="N124" s="12" t="s">
        <v>200</v>
      </c>
    </row>
    <row r="125" spans="1:14" ht="12.75">
      <c r="A125" s="15" t="s">
        <v>190</v>
      </c>
      <c r="B125" s="12" t="s">
        <v>616</v>
      </c>
      <c r="C125" s="12" t="s">
        <v>617</v>
      </c>
      <c r="D125" s="12" t="s">
        <v>321</v>
      </c>
      <c r="E125" s="12" t="str">
        <f>"0,6749"</f>
        <v>0,6749</v>
      </c>
      <c r="F125" s="12" t="s">
        <v>37</v>
      </c>
      <c r="G125" s="12" t="s">
        <v>618</v>
      </c>
      <c r="H125" s="13" t="s">
        <v>100</v>
      </c>
      <c r="I125" s="14" t="s">
        <v>100</v>
      </c>
      <c r="J125" s="13" t="s">
        <v>101</v>
      </c>
      <c r="K125" s="15"/>
      <c r="L125" s="15" t="str">
        <f>"132,5"</f>
        <v>132,5</v>
      </c>
      <c r="M125" s="15" t="str">
        <f>"89,4242"</f>
        <v>89,4242</v>
      </c>
      <c r="N125" s="12" t="s">
        <v>108</v>
      </c>
    </row>
    <row r="126" spans="1:14" ht="12.75">
      <c r="A126" s="15" t="s">
        <v>336</v>
      </c>
      <c r="B126" s="12" t="s">
        <v>619</v>
      </c>
      <c r="C126" s="12" t="s">
        <v>620</v>
      </c>
      <c r="D126" s="12" t="s">
        <v>621</v>
      </c>
      <c r="E126" s="12" t="str">
        <f>"0,6774"</f>
        <v>0,6774</v>
      </c>
      <c r="F126" s="12" t="s">
        <v>13</v>
      </c>
      <c r="G126" s="12" t="s">
        <v>14</v>
      </c>
      <c r="H126" s="14" t="s">
        <v>55</v>
      </c>
      <c r="I126" s="14" t="s">
        <v>73</v>
      </c>
      <c r="J126" s="13" t="s">
        <v>58</v>
      </c>
      <c r="K126" s="15"/>
      <c r="L126" s="15" t="str">
        <f>"115,0"</f>
        <v>115,0</v>
      </c>
      <c r="M126" s="15" t="str">
        <f>"77,9010"</f>
        <v>77,9010</v>
      </c>
      <c r="N126" s="12" t="s">
        <v>111</v>
      </c>
    </row>
    <row r="127" spans="1:14" ht="12.75">
      <c r="A127" s="15" t="s">
        <v>338</v>
      </c>
      <c r="B127" s="12" t="s">
        <v>622</v>
      </c>
      <c r="C127" s="12" t="s">
        <v>623</v>
      </c>
      <c r="D127" s="12" t="s">
        <v>327</v>
      </c>
      <c r="E127" s="12" t="str">
        <f>"0,6724"</f>
        <v>0,6724</v>
      </c>
      <c r="F127" s="12" t="s">
        <v>13</v>
      </c>
      <c r="G127" s="12" t="s">
        <v>14</v>
      </c>
      <c r="H127" s="14" t="s">
        <v>36</v>
      </c>
      <c r="I127" s="14" t="s">
        <v>73</v>
      </c>
      <c r="J127" s="13" t="s">
        <v>53</v>
      </c>
      <c r="K127" s="15"/>
      <c r="L127" s="15" t="str">
        <f>"115,0"</f>
        <v>115,0</v>
      </c>
      <c r="M127" s="15" t="str">
        <f>"77,3260"</f>
        <v>77,3260</v>
      </c>
      <c r="N127" s="12" t="s">
        <v>624</v>
      </c>
    </row>
    <row r="128" spans="1:14" ht="12.75">
      <c r="A128" s="15" t="s">
        <v>12</v>
      </c>
      <c r="B128" s="12" t="s">
        <v>625</v>
      </c>
      <c r="C128" s="12" t="s">
        <v>626</v>
      </c>
      <c r="D128" s="12" t="s">
        <v>110</v>
      </c>
      <c r="E128" s="12" t="str">
        <f>"0,6822"</f>
        <v>0,6822</v>
      </c>
      <c r="F128" s="12" t="s">
        <v>37</v>
      </c>
      <c r="G128" s="12" t="s">
        <v>14</v>
      </c>
      <c r="H128" s="13" t="s">
        <v>44</v>
      </c>
      <c r="I128" s="15"/>
      <c r="J128" s="15"/>
      <c r="K128" s="15"/>
      <c r="L128" s="34">
        <v>0</v>
      </c>
      <c r="M128" s="15" t="str">
        <f>"0,0000"</f>
        <v>0,0000</v>
      </c>
      <c r="N128" s="12" t="s">
        <v>20</v>
      </c>
    </row>
    <row r="129" spans="1:14" ht="12.75">
      <c r="A129" s="15" t="s">
        <v>23</v>
      </c>
      <c r="B129" s="12" t="s">
        <v>605</v>
      </c>
      <c r="C129" s="12" t="s">
        <v>627</v>
      </c>
      <c r="D129" s="12" t="s">
        <v>289</v>
      </c>
      <c r="E129" s="12" t="str">
        <f>"0,6739"</f>
        <v>0,6739</v>
      </c>
      <c r="F129" s="12" t="s">
        <v>13</v>
      </c>
      <c r="G129" s="12" t="s">
        <v>437</v>
      </c>
      <c r="H129" s="14" t="s">
        <v>162</v>
      </c>
      <c r="I129" s="14" t="s">
        <v>195</v>
      </c>
      <c r="J129" s="13" t="s">
        <v>133</v>
      </c>
      <c r="K129" s="15"/>
      <c r="L129" s="15" t="str">
        <f>"172,5"</f>
        <v>172,5</v>
      </c>
      <c r="M129" s="15" t="str">
        <f>"121,3627"</f>
        <v>121,3627</v>
      </c>
      <c r="N129" s="12" t="s">
        <v>20</v>
      </c>
    </row>
    <row r="130" spans="1:14" ht="12.75">
      <c r="A130" s="15" t="s">
        <v>47</v>
      </c>
      <c r="B130" s="12" t="s">
        <v>628</v>
      </c>
      <c r="C130" s="12" t="s">
        <v>629</v>
      </c>
      <c r="D130" s="12" t="s">
        <v>321</v>
      </c>
      <c r="E130" s="12" t="str">
        <f>"0,6749"</f>
        <v>0,6749</v>
      </c>
      <c r="F130" s="12" t="s">
        <v>83</v>
      </c>
      <c r="G130" s="12" t="s">
        <v>84</v>
      </c>
      <c r="H130" s="14" t="s">
        <v>43</v>
      </c>
      <c r="I130" s="14" t="s">
        <v>116</v>
      </c>
      <c r="J130" s="13" t="s">
        <v>94</v>
      </c>
      <c r="K130" s="15"/>
      <c r="L130" s="15" t="str">
        <f>"142,5"</f>
        <v>142,5</v>
      </c>
      <c r="M130" s="15" t="str">
        <f>"98,8661"</f>
        <v>98,8661</v>
      </c>
      <c r="N130" s="12" t="s">
        <v>630</v>
      </c>
    </row>
    <row r="131" spans="1:14" ht="12.75">
      <c r="A131" s="15" t="s">
        <v>23</v>
      </c>
      <c r="B131" s="12" t="s">
        <v>631</v>
      </c>
      <c r="C131" s="12" t="s">
        <v>632</v>
      </c>
      <c r="D131" s="12" t="s">
        <v>633</v>
      </c>
      <c r="E131" s="12" t="str">
        <f>"0,6779"</f>
        <v>0,6779</v>
      </c>
      <c r="F131" s="12" t="s">
        <v>13</v>
      </c>
      <c r="G131" s="12" t="s">
        <v>302</v>
      </c>
      <c r="H131" s="14" t="s">
        <v>93</v>
      </c>
      <c r="I131" s="14" t="s">
        <v>70</v>
      </c>
      <c r="J131" s="13" t="s">
        <v>71</v>
      </c>
      <c r="K131" s="15"/>
      <c r="L131" s="15" t="str">
        <f>"160,0"</f>
        <v>160,0</v>
      </c>
      <c r="M131" s="15" t="str">
        <f>"124,7336"</f>
        <v>124,7336</v>
      </c>
      <c r="N131" s="12" t="s">
        <v>20</v>
      </c>
    </row>
    <row r="132" spans="1:14" ht="12.75">
      <c r="A132" s="19" t="s">
        <v>23</v>
      </c>
      <c r="B132" s="16" t="s">
        <v>634</v>
      </c>
      <c r="C132" s="16" t="s">
        <v>635</v>
      </c>
      <c r="D132" s="16" t="s">
        <v>148</v>
      </c>
      <c r="E132" s="16" t="str">
        <f>"0,6910"</f>
        <v>0,6910</v>
      </c>
      <c r="F132" s="16" t="s">
        <v>37</v>
      </c>
      <c r="G132" s="16" t="s">
        <v>14</v>
      </c>
      <c r="H132" s="17" t="s">
        <v>43</v>
      </c>
      <c r="I132" s="17" t="s">
        <v>127</v>
      </c>
      <c r="J132" s="17" t="s">
        <v>101</v>
      </c>
      <c r="K132" s="19"/>
      <c r="L132" s="19" t="str">
        <f>"140,0"</f>
        <v>140,0</v>
      </c>
      <c r="M132" s="19" t="str">
        <f>"139,3056"</f>
        <v>139,3056</v>
      </c>
      <c r="N132" s="16" t="s">
        <v>20</v>
      </c>
    </row>
    <row r="133" ht="12.75">
      <c r="B133" s="6" t="s">
        <v>21</v>
      </c>
    </row>
    <row r="134" spans="1:13" ht="15">
      <c r="A134" s="51" t="s">
        <v>153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1:14" ht="12.75">
      <c r="A135" s="11" t="s">
        <v>23</v>
      </c>
      <c r="B135" s="8" t="s">
        <v>155</v>
      </c>
      <c r="C135" s="8" t="s">
        <v>156</v>
      </c>
      <c r="D135" s="8" t="s">
        <v>157</v>
      </c>
      <c r="E135" s="8" t="str">
        <f>"0,6417"</f>
        <v>0,6417</v>
      </c>
      <c r="F135" s="8" t="s">
        <v>13</v>
      </c>
      <c r="G135" s="8" t="s">
        <v>158</v>
      </c>
      <c r="H135" s="9" t="s">
        <v>43</v>
      </c>
      <c r="I135" s="9" t="s">
        <v>101</v>
      </c>
      <c r="J135" s="9" t="s">
        <v>44</v>
      </c>
      <c r="K135" s="11"/>
      <c r="L135" s="11" t="str">
        <f>"145,0"</f>
        <v>145,0</v>
      </c>
      <c r="M135" s="11" t="str">
        <f>"93,0465"</f>
        <v>93,0465</v>
      </c>
      <c r="N135" s="8" t="s">
        <v>159</v>
      </c>
    </row>
    <row r="136" spans="1:14" ht="12.75">
      <c r="A136" s="15" t="s">
        <v>23</v>
      </c>
      <c r="B136" s="12" t="s">
        <v>636</v>
      </c>
      <c r="C136" s="12" t="s">
        <v>637</v>
      </c>
      <c r="D136" s="12" t="s">
        <v>243</v>
      </c>
      <c r="E136" s="12" t="str">
        <f>"0,6428"</f>
        <v>0,6428</v>
      </c>
      <c r="F136" s="12" t="s">
        <v>13</v>
      </c>
      <c r="G136" s="12" t="s">
        <v>638</v>
      </c>
      <c r="H136" s="14" t="s">
        <v>138</v>
      </c>
      <c r="I136" s="14" t="s">
        <v>133</v>
      </c>
      <c r="J136" s="13" t="s">
        <v>121</v>
      </c>
      <c r="K136" s="15"/>
      <c r="L136" s="15" t="str">
        <f>"175,0"</f>
        <v>175,0</v>
      </c>
      <c r="M136" s="15" t="str">
        <f>"112,4900"</f>
        <v>112,4900</v>
      </c>
      <c r="N136" s="12" t="s">
        <v>20</v>
      </c>
    </row>
    <row r="137" spans="1:14" ht="12.75">
      <c r="A137" s="15" t="s">
        <v>47</v>
      </c>
      <c r="B137" s="12" t="s">
        <v>639</v>
      </c>
      <c r="C137" s="12" t="s">
        <v>640</v>
      </c>
      <c r="D137" s="12" t="s">
        <v>641</v>
      </c>
      <c r="E137" s="12" t="str">
        <f>"0,6503"</f>
        <v>0,6503</v>
      </c>
      <c r="F137" s="12" t="s">
        <v>13</v>
      </c>
      <c r="G137" s="12" t="s">
        <v>346</v>
      </c>
      <c r="H137" s="13" t="s">
        <v>127</v>
      </c>
      <c r="I137" s="13" t="s">
        <v>127</v>
      </c>
      <c r="J137" s="14" t="s">
        <v>127</v>
      </c>
      <c r="K137" s="15"/>
      <c r="L137" s="15" t="str">
        <f>"137,5"</f>
        <v>137,5</v>
      </c>
      <c r="M137" s="15" t="str">
        <f>"89,4163"</f>
        <v>89,4163</v>
      </c>
      <c r="N137" s="12" t="s">
        <v>20</v>
      </c>
    </row>
    <row r="138" spans="1:14" ht="12.75">
      <c r="A138" s="15" t="s">
        <v>74</v>
      </c>
      <c r="B138" s="12" t="s">
        <v>642</v>
      </c>
      <c r="C138" s="12" t="s">
        <v>643</v>
      </c>
      <c r="D138" s="12" t="s">
        <v>644</v>
      </c>
      <c r="E138" s="12" t="str">
        <f>"0,6395"</f>
        <v>0,6395</v>
      </c>
      <c r="F138" s="12" t="s">
        <v>13</v>
      </c>
      <c r="G138" s="12" t="s">
        <v>290</v>
      </c>
      <c r="H138" s="14" t="s">
        <v>53</v>
      </c>
      <c r="I138" s="13" t="s">
        <v>67</v>
      </c>
      <c r="J138" s="13" t="s">
        <v>100</v>
      </c>
      <c r="K138" s="15"/>
      <c r="L138" s="15" t="str">
        <f>"120,0"</f>
        <v>120,0</v>
      </c>
      <c r="M138" s="15" t="str">
        <f>"76,7400"</f>
        <v>76,7400</v>
      </c>
      <c r="N138" s="12" t="s">
        <v>388</v>
      </c>
    </row>
    <row r="139" spans="1:14" ht="12.75">
      <c r="A139" s="15" t="s">
        <v>23</v>
      </c>
      <c r="B139" s="12" t="s">
        <v>645</v>
      </c>
      <c r="C139" s="12" t="s">
        <v>646</v>
      </c>
      <c r="D139" s="12" t="s">
        <v>366</v>
      </c>
      <c r="E139" s="12" t="str">
        <f>"0,6421"</f>
        <v>0,6421</v>
      </c>
      <c r="F139" s="12" t="s">
        <v>13</v>
      </c>
      <c r="G139" s="12" t="s">
        <v>647</v>
      </c>
      <c r="H139" s="14" t="s">
        <v>117</v>
      </c>
      <c r="I139" s="14" t="s">
        <v>128</v>
      </c>
      <c r="J139" s="13" t="s">
        <v>118</v>
      </c>
      <c r="K139" s="15"/>
      <c r="L139" s="15" t="str">
        <f>"195,0"</f>
        <v>195,0</v>
      </c>
      <c r="M139" s="15" t="str">
        <f>"125,2095"</f>
        <v>125,2095</v>
      </c>
      <c r="N139" s="12" t="s">
        <v>648</v>
      </c>
    </row>
    <row r="140" spans="1:14" ht="12.75">
      <c r="A140" s="15" t="s">
        <v>47</v>
      </c>
      <c r="B140" s="12" t="s">
        <v>649</v>
      </c>
      <c r="C140" s="12" t="s">
        <v>650</v>
      </c>
      <c r="D140" s="12" t="s">
        <v>154</v>
      </c>
      <c r="E140" s="12" t="str">
        <f>"0,6402"</f>
        <v>0,6402</v>
      </c>
      <c r="F140" s="12" t="s">
        <v>13</v>
      </c>
      <c r="G140" s="12" t="s">
        <v>651</v>
      </c>
      <c r="H140" s="14" t="s">
        <v>133</v>
      </c>
      <c r="I140" s="14" t="s">
        <v>147</v>
      </c>
      <c r="J140" s="14" t="s">
        <v>128</v>
      </c>
      <c r="K140" s="15"/>
      <c r="L140" s="15" t="str">
        <f>"195,0"</f>
        <v>195,0</v>
      </c>
      <c r="M140" s="15" t="str">
        <f>"124,8390"</f>
        <v>124,8390</v>
      </c>
      <c r="N140" s="12" t="s">
        <v>20</v>
      </c>
    </row>
    <row r="141" spans="1:14" ht="12.75">
      <c r="A141" s="15" t="s">
        <v>74</v>
      </c>
      <c r="B141" s="12" t="s">
        <v>652</v>
      </c>
      <c r="C141" s="12" t="s">
        <v>653</v>
      </c>
      <c r="D141" s="12" t="s">
        <v>160</v>
      </c>
      <c r="E141" s="12" t="str">
        <f>"0,6384"</f>
        <v>0,6384</v>
      </c>
      <c r="F141" s="12" t="s">
        <v>269</v>
      </c>
      <c r="G141" s="12" t="s">
        <v>270</v>
      </c>
      <c r="H141" s="14" t="s">
        <v>138</v>
      </c>
      <c r="I141" s="14" t="s">
        <v>147</v>
      </c>
      <c r="J141" s="14" t="s">
        <v>117</v>
      </c>
      <c r="K141" s="15"/>
      <c r="L141" s="15" t="str">
        <f>"190,0"</f>
        <v>190,0</v>
      </c>
      <c r="M141" s="15" t="str">
        <f>"121,2960"</f>
        <v>121,2960</v>
      </c>
      <c r="N141" s="12" t="s">
        <v>20</v>
      </c>
    </row>
    <row r="142" spans="1:14" ht="12.75">
      <c r="A142" s="15" t="s">
        <v>75</v>
      </c>
      <c r="B142" s="12" t="s">
        <v>654</v>
      </c>
      <c r="C142" s="12" t="s">
        <v>655</v>
      </c>
      <c r="D142" s="12" t="s">
        <v>241</v>
      </c>
      <c r="E142" s="12" t="str">
        <f>"0,6444"</f>
        <v>0,6444</v>
      </c>
      <c r="F142" s="12" t="s">
        <v>13</v>
      </c>
      <c r="G142" s="12" t="s">
        <v>551</v>
      </c>
      <c r="H142" s="14" t="s">
        <v>133</v>
      </c>
      <c r="I142" s="14" t="s">
        <v>147</v>
      </c>
      <c r="J142" s="13" t="s">
        <v>117</v>
      </c>
      <c r="K142" s="15"/>
      <c r="L142" s="15" t="str">
        <f>"185,0"</f>
        <v>185,0</v>
      </c>
      <c r="M142" s="15" t="str">
        <f>"119,2140"</f>
        <v>119,2140</v>
      </c>
      <c r="N142" s="12" t="s">
        <v>20</v>
      </c>
    </row>
    <row r="143" spans="1:14" ht="12.75">
      <c r="A143" s="15" t="s">
        <v>95</v>
      </c>
      <c r="B143" s="12" t="s">
        <v>656</v>
      </c>
      <c r="C143" s="12" t="s">
        <v>657</v>
      </c>
      <c r="D143" s="12" t="s">
        <v>658</v>
      </c>
      <c r="E143" s="12" t="str">
        <f>"0,6388"</f>
        <v>0,6388</v>
      </c>
      <c r="F143" s="12" t="s">
        <v>13</v>
      </c>
      <c r="G143" s="12" t="s">
        <v>532</v>
      </c>
      <c r="H143" s="14" t="s">
        <v>195</v>
      </c>
      <c r="I143" s="14" t="s">
        <v>121</v>
      </c>
      <c r="J143" s="14" t="s">
        <v>147</v>
      </c>
      <c r="K143" s="15"/>
      <c r="L143" s="15" t="str">
        <f>"185,0"</f>
        <v>185,0</v>
      </c>
      <c r="M143" s="15" t="str">
        <f>"118,1780"</f>
        <v>118,1780</v>
      </c>
      <c r="N143" s="12" t="s">
        <v>20</v>
      </c>
    </row>
    <row r="144" spans="1:14" ht="12.75">
      <c r="A144" s="15" t="s">
        <v>190</v>
      </c>
      <c r="B144" s="12" t="s">
        <v>659</v>
      </c>
      <c r="C144" s="12" t="s">
        <v>660</v>
      </c>
      <c r="D144" s="12" t="s">
        <v>661</v>
      </c>
      <c r="E144" s="12" t="str">
        <f>"0,6491"</f>
        <v>0,6491</v>
      </c>
      <c r="F144" s="12" t="s">
        <v>37</v>
      </c>
      <c r="G144" s="12" t="s">
        <v>14</v>
      </c>
      <c r="H144" s="13" t="s">
        <v>163</v>
      </c>
      <c r="I144" s="14" t="s">
        <v>163</v>
      </c>
      <c r="J144" s="13" t="s">
        <v>186</v>
      </c>
      <c r="K144" s="15"/>
      <c r="L144" s="15" t="str">
        <f>"182,5"</f>
        <v>182,5</v>
      </c>
      <c r="M144" s="15" t="str">
        <f>"118,4608"</f>
        <v>118,4608</v>
      </c>
      <c r="N144" s="12" t="s">
        <v>662</v>
      </c>
    </row>
    <row r="145" spans="1:14" ht="12.75">
      <c r="A145" s="15" t="s">
        <v>336</v>
      </c>
      <c r="B145" s="12" t="s">
        <v>663</v>
      </c>
      <c r="C145" s="12" t="s">
        <v>664</v>
      </c>
      <c r="D145" s="12" t="s">
        <v>160</v>
      </c>
      <c r="E145" s="12" t="str">
        <f>"0,6384"</f>
        <v>0,6384</v>
      </c>
      <c r="F145" s="12" t="s">
        <v>13</v>
      </c>
      <c r="G145" s="12" t="s">
        <v>521</v>
      </c>
      <c r="H145" s="14" t="s">
        <v>162</v>
      </c>
      <c r="I145" s="14" t="s">
        <v>133</v>
      </c>
      <c r="J145" s="14" t="s">
        <v>121</v>
      </c>
      <c r="K145" s="15"/>
      <c r="L145" s="15" t="str">
        <f>"180,0"</f>
        <v>180,0</v>
      </c>
      <c r="M145" s="15" t="str">
        <f>"114,9120"</f>
        <v>114,9120</v>
      </c>
      <c r="N145" s="12" t="s">
        <v>312</v>
      </c>
    </row>
    <row r="146" spans="1:14" ht="12.75">
      <c r="A146" s="15" t="s">
        <v>338</v>
      </c>
      <c r="B146" s="12" t="s">
        <v>665</v>
      </c>
      <c r="C146" s="12" t="s">
        <v>666</v>
      </c>
      <c r="D146" s="12" t="s">
        <v>241</v>
      </c>
      <c r="E146" s="12" t="str">
        <f>"0,6444"</f>
        <v>0,6444</v>
      </c>
      <c r="F146" s="12" t="s">
        <v>13</v>
      </c>
      <c r="G146" s="12" t="s">
        <v>194</v>
      </c>
      <c r="H146" s="13" t="s">
        <v>138</v>
      </c>
      <c r="I146" s="14" t="s">
        <v>138</v>
      </c>
      <c r="J146" s="14" t="s">
        <v>133</v>
      </c>
      <c r="K146" s="15"/>
      <c r="L146" s="15" t="str">
        <f>"175,0"</f>
        <v>175,0</v>
      </c>
      <c r="M146" s="15" t="str">
        <f>"112,7700"</f>
        <v>112,7700</v>
      </c>
      <c r="N146" s="12" t="s">
        <v>667</v>
      </c>
    </row>
    <row r="147" spans="1:14" ht="12.75">
      <c r="A147" s="15" t="s">
        <v>347</v>
      </c>
      <c r="B147" s="12" t="s">
        <v>668</v>
      </c>
      <c r="C147" s="12" t="s">
        <v>669</v>
      </c>
      <c r="D147" s="12" t="s">
        <v>165</v>
      </c>
      <c r="E147" s="12" t="str">
        <f>"0,6391"</f>
        <v>0,6391</v>
      </c>
      <c r="F147" s="12" t="s">
        <v>37</v>
      </c>
      <c r="G147" s="12" t="s">
        <v>670</v>
      </c>
      <c r="H147" s="14" t="s">
        <v>71</v>
      </c>
      <c r="I147" s="14" t="s">
        <v>138</v>
      </c>
      <c r="J147" s="14" t="s">
        <v>133</v>
      </c>
      <c r="K147" s="15"/>
      <c r="L147" s="15" t="str">
        <f>"175,0"</f>
        <v>175,0</v>
      </c>
      <c r="M147" s="15" t="str">
        <f>"111,8425"</f>
        <v>111,8425</v>
      </c>
      <c r="N147" s="12" t="s">
        <v>671</v>
      </c>
    </row>
    <row r="148" spans="1:14" ht="12.75">
      <c r="A148" s="15" t="s">
        <v>571</v>
      </c>
      <c r="B148" s="12" t="s">
        <v>672</v>
      </c>
      <c r="C148" s="12" t="s">
        <v>673</v>
      </c>
      <c r="D148" s="12" t="s">
        <v>331</v>
      </c>
      <c r="E148" s="12" t="str">
        <f>"0,6440"</f>
        <v>0,6440</v>
      </c>
      <c r="F148" s="12" t="s">
        <v>83</v>
      </c>
      <c r="G148" s="12" t="s">
        <v>674</v>
      </c>
      <c r="H148" s="14" t="s">
        <v>138</v>
      </c>
      <c r="I148" s="13" t="s">
        <v>146</v>
      </c>
      <c r="J148" s="13" t="s">
        <v>146</v>
      </c>
      <c r="K148" s="15"/>
      <c r="L148" s="15" t="str">
        <f>"170,0"</f>
        <v>170,0</v>
      </c>
      <c r="M148" s="15" t="str">
        <f>"109,4800"</f>
        <v>109,4800</v>
      </c>
      <c r="N148" s="12" t="s">
        <v>675</v>
      </c>
    </row>
    <row r="149" spans="1:14" ht="12.75">
      <c r="A149" s="15" t="s">
        <v>572</v>
      </c>
      <c r="B149" s="12" t="s">
        <v>305</v>
      </c>
      <c r="C149" s="12" t="s">
        <v>306</v>
      </c>
      <c r="D149" s="12" t="s">
        <v>242</v>
      </c>
      <c r="E149" s="12" t="str">
        <f>"0,6406"</f>
        <v>0,6406</v>
      </c>
      <c r="F149" s="12" t="s">
        <v>259</v>
      </c>
      <c r="G149" s="12" t="s">
        <v>260</v>
      </c>
      <c r="H149" s="14" t="s">
        <v>138</v>
      </c>
      <c r="I149" s="13" t="s">
        <v>195</v>
      </c>
      <c r="J149" s="13" t="s">
        <v>133</v>
      </c>
      <c r="K149" s="15"/>
      <c r="L149" s="15" t="str">
        <f>"170,0"</f>
        <v>170,0</v>
      </c>
      <c r="M149" s="15" t="str">
        <f>"108,9020"</f>
        <v>108,9020</v>
      </c>
      <c r="N149" s="12" t="s">
        <v>288</v>
      </c>
    </row>
    <row r="150" spans="1:14" ht="12.75">
      <c r="A150" s="15" t="s">
        <v>577</v>
      </c>
      <c r="B150" s="12" t="s">
        <v>676</v>
      </c>
      <c r="C150" s="12" t="s">
        <v>677</v>
      </c>
      <c r="D150" s="12" t="s">
        <v>303</v>
      </c>
      <c r="E150" s="12" t="str">
        <f>"0,6463"</f>
        <v>0,6463</v>
      </c>
      <c r="F150" s="12" t="s">
        <v>13</v>
      </c>
      <c r="G150" s="12" t="s">
        <v>14</v>
      </c>
      <c r="H150" s="14" t="s">
        <v>44</v>
      </c>
      <c r="I150" s="14" t="s">
        <v>92</v>
      </c>
      <c r="J150" s="14" t="s">
        <v>70</v>
      </c>
      <c r="K150" s="15"/>
      <c r="L150" s="15" t="str">
        <f>"160,0"</f>
        <v>160,0</v>
      </c>
      <c r="M150" s="15" t="str">
        <f>"103,4080"</f>
        <v>103,4080</v>
      </c>
      <c r="N150" s="12" t="s">
        <v>20</v>
      </c>
    </row>
    <row r="151" spans="1:14" ht="12.75">
      <c r="A151" s="15" t="s">
        <v>578</v>
      </c>
      <c r="B151" s="12" t="s">
        <v>678</v>
      </c>
      <c r="C151" s="12" t="s">
        <v>679</v>
      </c>
      <c r="D151" s="12" t="s">
        <v>242</v>
      </c>
      <c r="E151" s="12" t="str">
        <f>"0,6406"</f>
        <v>0,6406</v>
      </c>
      <c r="F151" s="12" t="s">
        <v>240</v>
      </c>
      <c r="G151" s="12" t="s">
        <v>252</v>
      </c>
      <c r="H151" s="14" t="s">
        <v>70</v>
      </c>
      <c r="I151" s="13" t="s">
        <v>71</v>
      </c>
      <c r="J151" s="13" t="s">
        <v>71</v>
      </c>
      <c r="K151" s="15"/>
      <c r="L151" s="15" t="str">
        <f>"160,0"</f>
        <v>160,0</v>
      </c>
      <c r="M151" s="15" t="str">
        <f>"102,4960"</f>
        <v>102,4960</v>
      </c>
      <c r="N151" s="12" t="s">
        <v>680</v>
      </c>
    </row>
    <row r="152" spans="1:14" ht="12.75">
      <c r="A152" s="15" t="s">
        <v>582</v>
      </c>
      <c r="B152" s="12" t="s">
        <v>681</v>
      </c>
      <c r="C152" s="12" t="s">
        <v>245</v>
      </c>
      <c r="D152" s="12" t="s">
        <v>682</v>
      </c>
      <c r="E152" s="12" t="str">
        <f>"0,6475"</f>
        <v>0,6475</v>
      </c>
      <c r="F152" s="12" t="s">
        <v>37</v>
      </c>
      <c r="G152" s="12" t="s">
        <v>683</v>
      </c>
      <c r="H152" s="14" t="s">
        <v>92</v>
      </c>
      <c r="I152" s="14" t="s">
        <v>176</v>
      </c>
      <c r="J152" s="13" t="s">
        <v>123</v>
      </c>
      <c r="K152" s="15"/>
      <c r="L152" s="15" t="str">
        <f>"157,5"</f>
        <v>157,5</v>
      </c>
      <c r="M152" s="15" t="str">
        <f>"101,9812"</f>
        <v>101,9812</v>
      </c>
      <c r="N152" s="12" t="s">
        <v>684</v>
      </c>
    </row>
    <row r="153" spans="1:14" ht="12.75">
      <c r="A153" s="15" t="s">
        <v>685</v>
      </c>
      <c r="B153" s="12" t="s">
        <v>686</v>
      </c>
      <c r="C153" s="12" t="s">
        <v>687</v>
      </c>
      <c r="D153" s="12" t="s">
        <v>303</v>
      </c>
      <c r="E153" s="12" t="str">
        <f>"0,6463"</f>
        <v>0,6463</v>
      </c>
      <c r="F153" s="12" t="s">
        <v>13</v>
      </c>
      <c r="G153" s="12" t="s">
        <v>346</v>
      </c>
      <c r="H153" s="14" t="s">
        <v>92</v>
      </c>
      <c r="I153" s="13" t="s">
        <v>123</v>
      </c>
      <c r="J153" s="13" t="s">
        <v>123</v>
      </c>
      <c r="K153" s="15"/>
      <c r="L153" s="15" t="str">
        <f>"152,5"</f>
        <v>152,5</v>
      </c>
      <c r="M153" s="15" t="str">
        <f>"98,5608"</f>
        <v>98,5608</v>
      </c>
      <c r="N153" s="12" t="s">
        <v>20</v>
      </c>
    </row>
    <row r="154" spans="1:14" ht="12.75">
      <c r="A154" s="15" t="s">
        <v>688</v>
      </c>
      <c r="B154" s="12" t="s">
        <v>689</v>
      </c>
      <c r="C154" s="12" t="s">
        <v>690</v>
      </c>
      <c r="D154" s="12" t="s">
        <v>243</v>
      </c>
      <c r="E154" s="12" t="str">
        <f>"0,6428"</f>
        <v>0,6428</v>
      </c>
      <c r="F154" s="12" t="s">
        <v>13</v>
      </c>
      <c r="G154" s="12" t="s">
        <v>691</v>
      </c>
      <c r="H154" s="14" t="s">
        <v>92</v>
      </c>
      <c r="I154" s="13" t="s">
        <v>93</v>
      </c>
      <c r="J154" s="13" t="s">
        <v>93</v>
      </c>
      <c r="K154" s="15"/>
      <c r="L154" s="15" t="str">
        <f>"152,5"</f>
        <v>152,5</v>
      </c>
      <c r="M154" s="15" t="str">
        <f>"98,0270"</f>
        <v>98,0270</v>
      </c>
      <c r="N154" s="12" t="s">
        <v>20</v>
      </c>
    </row>
    <row r="155" spans="1:14" ht="12.75">
      <c r="A155" s="15" t="s">
        <v>692</v>
      </c>
      <c r="B155" s="12" t="s">
        <v>693</v>
      </c>
      <c r="C155" s="12" t="s">
        <v>694</v>
      </c>
      <c r="D155" s="12" t="s">
        <v>329</v>
      </c>
      <c r="E155" s="12" t="str">
        <f>"0,6451"</f>
        <v>0,6451</v>
      </c>
      <c r="F155" s="12" t="s">
        <v>13</v>
      </c>
      <c r="G155" s="12" t="s">
        <v>14</v>
      </c>
      <c r="H155" s="14" t="s">
        <v>43</v>
      </c>
      <c r="I155" s="14" t="s">
        <v>44</v>
      </c>
      <c r="J155" s="13" t="s">
        <v>92</v>
      </c>
      <c r="K155" s="15"/>
      <c r="L155" s="15" t="str">
        <f>"145,0"</f>
        <v>145,0</v>
      </c>
      <c r="M155" s="15" t="str">
        <f>"93,5395"</f>
        <v>93,5395</v>
      </c>
      <c r="N155" s="12" t="s">
        <v>20</v>
      </c>
    </row>
    <row r="156" spans="1:14" ht="12.75">
      <c r="A156" s="15" t="s">
        <v>695</v>
      </c>
      <c r="B156" s="12" t="s">
        <v>696</v>
      </c>
      <c r="C156" s="12" t="s">
        <v>697</v>
      </c>
      <c r="D156" s="12" t="s">
        <v>160</v>
      </c>
      <c r="E156" s="12" t="str">
        <f>"0,6384"</f>
        <v>0,6384</v>
      </c>
      <c r="F156" s="12" t="s">
        <v>13</v>
      </c>
      <c r="G156" s="12" t="s">
        <v>14</v>
      </c>
      <c r="H156" s="13" t="s">
        <v>116</v>
      </c>
      <c r="I156" s="14" t="s">
        <v>116</v>
      </c>
      <c r="J156" s="13" t="s">
        <v>92</v>
      </c>
      <c r="K156" s="15"/>
      <c r="L156" s="15" t="str">
        <f>"142,5"</f>
        <v>142,5</v>
      </c>
      <c r="M156" s="15" t="str">
        <f>"90,9720"</f>
        <v>90,9720</v>
      </c>
      <c r="N156" s="12" t="s">
        <v>388</v>
      </c>
    </row>
    <row r="157" spans="1:14" ht="12.75">
      <c r="A157" s="15" t="s">
        <v>698</v>
      </c>
      <c r="B157" s="12" t="s">
        <v>699</v>
      </c>
      <c r="C157" s="12" t="s">
        <v>700</v>
      </c>
      <c r="D157" s="12" t="s">
        <v>243</v>
      </c>
      <c r="E157" s="12" t="str">
        <f>"0,6428"</f>
        <v>0,6428</v>
      </c>
      <c r="F157" s="12" t="s">
        <v>13</v>
      </c>
      <c r="G157" s="12" t="s">
        <v>14</v>
      </c>
      <c r="H157" s="14" t="s">
        <v>88</v>
      </c>
      <c r="I157" s="14" t="s">
        <v>43</v>
      </c>
      <c r="J157" s="14" t="s">
        <v>101</v>
      </c>
      <c r="K157" s="15"/>
      <c r="L157" s="15" t="str">
        <f>"140,0"</f>
        <v>140,0</v>
      </c>
      <c r="M157" s="15" t="str">
        <f>"89,9920"</f>
        <v>89,9920</v>
      </c>
      <c r="N157" s="12" t="s">
        <v>701</v>
      </c>
    </row>
    <row r="158" spans="1:14" ht="12.75">
      <c r="A158" s="15" t="s">
        <v>702</v>
      </c>
      <c r="B158" s="12" t="s">
        <v>703</v>
      </c>
      <c r="C158" s="12" t="s">
        <v>704</v>
      </c>
      <c r="D158" s="12" t="s">
        <v>164</v>
      </c>
      <c r="E158" s="12" t="str">
        <f>"0,6495"</f>
        <v>0,6495</v>
      </c>
      <c r="F158" s="12" t="s">
        <v>13</v>
      </c>
      <c r="G158" s="12" t="s">
        <v>705</v>
      </c>
      <c r="H158" s="14" t="s">
        <v>67</v>
      </c>
      <c r="I158" s="13" t="s">
        <v>100</v>
      </c>
      <c r="J158" s="14" t="s">
        <v>43</v>
      </c>
      <c r="K158" s="15"/>
      <c r="L158" s="15" t="str">
        <f>"135,0"</f>
        <v>135,0</v>
      </c>
      <c r="M158" s="15" t="str">
        <f>"87,6825"</f>
        <v>87,6825</v>
      </c>
      <c r="N158" s="12" t="s">
        <v>20</v>
      </c>
    </row>
    <row r="159" spans="1:14" ht="12.75">
      <c r="A159" s="15" t="s">
        <v>706</v>
      </c>
      <c r="B159" s="12" t="s">
        <v>707</v>
      </c>
      <c r="C159" s="12" t="s">
        <v>708</v>
      </c>
      <c r="D159" s="12" t="s">
        <v>709</v>
      </c>
      <c r="E159" s="12" t="str">
        <f>"0,6624"</f>
        <v>0,6624</v>
      </c>
      <c r="F159" s="12" t="s">
        <v>37</v>
      </c>
      <c r="G159" s="12" t="s">
        <v>14</v>
      </c>
      <c r="H159" s="14" t="s">
        <v>100</v>
      </c>
      <c r="I159" s="13" t="s">
        <v>127</v>
      </c>
      <c r="J159" s="13" t="s">
        <v>127</v>
      </c>
      <c r="K159" s="15"/>
      <c r="L159" s="15" t="str">
        <f>"132,5"</f>
        <v>132,5</v>
      </c>
      <c r="M159" s="15" t="str">
        <f>"87,7680"</f>
        <v>87,7680</v>
      </c>
      <c r="N159" s="12" t="s">
        <v>20</v>
      </c>
    </row>
    <row r="160" spans="1:14" ht="12.75">
      <c r="A160" s="15" t="s">
        <v>710</v>
      </c>
      <c r="B160" s="12" t="s">
        <v>711</v>
      </c>
      <c r="C160" s="12" t="s">
        <v>712</v>
      </c>
      <c r="D160" s="12" t="s">
        <v>644</v>
      </c>
      <c r="E160" s="12" t="str">
        <f>"0,6395"</f>
        <v>0,6395</v>
      </c>
      <c r="F160" s="12" t="s">
        <v>13</v>
      </c>
      <c r="G160" s="12" t="s">
        <v>14</v>
      </c>
      <c r="H160" s="13" t="s">
        <v>100</v>
      </c>
      <c r="I160" s="14" t="s">
        <v>100</v>
      </c>
      <c r="J160" s="13" t="s">
        <v>127</v>
      </c>
      <c r="K160" s="15"/>
      <c r="L160" s="15" t="str">
        <f>"132,5"</f>
        <v>132,5</v>
      </c>
      <c r="M160" s="15" t="str">
        <f>"84,7338"</f>
        <v>84,7338</v>
      </c>
      <c r="N160" s="12" t="s">
        <v>20</v>
      </c>
    </row>
    <row r="161" spans="1:14" ht="12.75">
      <c r="A161" s="15" t="s">
        <v>12</v>
      </c>
      <c r="B161" s="12" t="s">
        <v>713</v>
      </c>
      <c r="C161" s="12" t="s">
        <v>714</v>
      </c>
      <c r="D161" s="12" t="s">
        <v>160</v>
      </c>
      <c r="E161" s="12" t="str">
        <f>"0,6384"</f>
        <v>0,6384</v>
      </c>
      <c r="F161" s="12" t="s">
        <v>13</v>
      </c>
      <c r="G161" s="12" t="s">
        <v>115</v>
      </c>
      <c r="H161" s="13" t="s">
        <v>151</v>
      </c>
      <c r="I161" s="13" t="s">
        <v>151</v>
      </c>
      <c r="J161" s="13" t="s">
        <v>152</v>
      </c>
      <c r="K161" s="15"/>
      <c r="L161" s="15" t="str">
        <f>"0.00"</f>
        <v>0.00</v>
      </c>
      <c r="M161" s="15" t="str">
        <f>"0,0000"</f>
        <v>0,0000</v>
      </c>
      <c r="N161" s="12" t="s">
        <v>299</v>
      </c>
    </row>
    <row r="162" spans="1:14" ht="12.75">
      <c r="A162" s="15" t="s">
        <v>12</v>
      </c>
      <c r="B162" s="12" t="s">
        <v>715</v>
      </c>
      <c r="C162" s="12" t="s">
        <v>716</v>
      </c>
      <c r="D162" s="12" t="s">
        <v>160</v>
      </c>
      <c r="E162" s="12" t="str">
        <f>"0,6384"</f>
        <v>0,6384</v>
      </c>
      <c r="F162" s="12" t="s">
        <v>37</v>
      </c>
      <c r="G162" s="12" t="s">
        <v>277</v>
      </c>
      <c r="H162" s="13" t="s">
        <v>88</v>
      </c>
      <c r="I162" s="13" t="s">
        <v>88</v>
      </c>
      <c r="J162" s="13" t="s">
        <v>88</v>
      </c>
      <c r="K162" s="15"/>
      <c r="L162" s="15" t="str">
        <f>"0.00"</f>
        <v>0.00</v>
      </c>
      <c r="M162" s="15" t="str">
        <f>"0,0000"</f>
        <v>0,0000</v>
      </c>
      <c r="N162" s="12" t="s">
        <v>278</v>
      </c>
    </row>
    <row r="163" spans="1:14" ht="12.75">
      <c r="A163" s="15" t="s">
        <v>23</v>
      </c>
      <c r="B163" s="12" t="s">
        <v>656</v>
      </c>
      <c r="C163" s="12" t="s">
        <v>717</v>
      </c>
      <c r="D163" s="12" t="s">
        <v>658</v>
      </c>
      <c r="E163" s="12" t="str">
        <f>"0,6388"</f>
        <v>0,6388</v>
      </c>
      <c r="F163" s="12" t="s">
        <v>13</v>
      </c>
      <c r="G163" s="12" t="s">
        <v>718</v>
      </c>
      <c r="H163" s="14" t="s">
        <v>195</v>
      </c>
      <c r="I163" s="14" t="s">
        <v>121</v>
      </c>
      <c r="J163" s="14" t="s">
        <v>147</v>
      </c>
      <c r="K163" s="15"/>
      <c r="L163" s="15" t="str">
        <f>"185,0"</f>
        <v>185,0</v>
      </c>
      <c r="M163" s="15" t="str">
        <f>"118,7689"</f>
        <v>118,7689</v>
      </c>
      <c r="N163" s="12" t="s">
        <v>20</v>
      </c>
    </row>
    <row r="164" spans="1:14" ht="12.75">
      <c r="A164" s="15" t="s">
        <v>47</v>
      </c>
      <c r="B164" s="12" t="s">
        <v>672</v>
      </c>
      <c r="C164" s="12" t="s">
        <v>719</v>
      </c>
      <c r="D164" s="12" t="s">
        <v>331</v>
      </c>
      <c r="E164" s="12" t="str">
        <f>"0,6440"</f>
        <v>0,6440</v>
      </c>
      <c r="F164" s="12" t="s">
        <v>83</v>
      </c>
      <c r="G164" s="12" t="s">
        <v>720</v>
      </c>
      <c r="H164" s="14" t="s">
        <v>138</v>
      </c>
      <c r="I164" s="13" t="s">
        <v>146</v>
      </c>
      <c r="J164" s="13" t="s">
        <v>146</v>
      </c>
      <c r="K164" s="15"/>
      <c r="L164" s="15" t="str">
        <f>"170,0"</f>
        <v>170,0</v>
      </c>
      <c r="M164" s="15" t="str">
        <f>"111,0127"</f>
        <v>111,0127</v>
      </c>
      <c r="N164" s="12" t="s">
        <v>675</v>
      </c>
    </row>
    <row r="165" spans="1:14" ht="12.75">
      <c r="A165" s="15" t="s">
        <v>23</v>
      </c>
      <c r="B165" s="12" t="s">
        <v>721</v>
      </c>
      <c r="C165" s="12" t="s">
        <v>722</v>
      </c>
      <c r="D165" s="12" t="s">
        <v>709</v>
      </c>
      <c r="E165" s="12" t="str">
        <f>"0,6624"</f>
        <v>0,6624</v>
      </c>
      <c r="F165" s="12" t="s">
        <v>13</v>
      </c>
      <c r="G165" s="12" t="s">
        <v>723</v>
      </c>
      <c r="H165" s="14" t="s">
        <v>127</v>
      </c>
      <c r="I165" s="14" t="s">
        <v>101</v>
      </c>
      <c r="J165" s="13" t="s">
        <v>116</v>
      </c>
      <c r="K165" s="15"/>
      <c r="L165" s="15" t="str">
        <f>"140,0"</f>
        <v>140,0</v>
      </c>
      <c r="M165" s="15" t="str">
        <f>"130,7578"</f>
        <v>130,7578</v>
      </c>
      <c r="N165" s="12" t="s">
        <v>20</v>
      </c>
    </row>
    <row r="166" spans="1:14" ht="12.75">
      <c r="A166" s="15" t="s">
        <v>47</v>
      </c>
      <c r="B166" s="12" t="s">
        <v>724</v>
      </c>
      <c r="C166" s="12" t="s">
        <v>725</v>
      </c>
      <c r="D166" s="12" t="s">
        <v>726</v>
      </c>
      <c r="E166" s="12" t="str">
        <f>"0,6588"</f>
        <v>0,6588</v>
      </c>
      <c r="F166" s="12" t="s">
        <v>13</v>
      </c>
      <c r="G166" s="12" t="s">
        <v>727</v>
      </c>
      <c r="H166" s="14" t="s">
        <v>58</v>
      </c>
      <c r="I166" s="14" t="s">
        <v>100</v>
      </c>
      <c r="J166" s="14" t="s">
        <v>43</v>
      </c>
      <c r="K166" s="15"/>
      <c r="L166" s="15" t="str">
        <f>"135,0"</f>
        <v>135,0</v>
      </c>
      <c r="M166" s="15" t="str">
        <f>"122,7344"</f>
        <v>122,7344</v>
      </c>
      <c r="N166" s="12" t="s">
        <v>728</v>
      </c>
    </row>
    <row r="167" spans="1:14" ht="12.75">
      <c r="A167" s="15" t="s">
        <v>74</v>
      </c>
      <c r="B167" s="12" t="s">
        <v>729</v>
      </c>
      <c r="C167" s="12" t="s">
        <v>730</v>
      </c>
      <c r="D167" s="12" t="s">
        <v>731</v>
      </c>
      <c r="E167" s="12" t="str">
        <f>"0,6515"</f>
        <v>0,6515</v>
      </c>
      <c r="F167" s="12" t="s">
        <v>240</v>
      </c>
      <c r="G167" s="12" t="s">
        <v>252</v>
      </c>
      <c r="H167" s="14" t="s">
        <v>88</v>
      </c>
      <c r="I167" s="13" t="s">
        <v>43</v>
      </c>
      <c r="J167" s="13" t="s">
        <v>43</v>
      </c>
      <c r="K167" s="15"/>
      <c r="L167" s="15" t="str">
        <f>"130,0"</f>
        <v>130,0</v>
      </c>
      <c r="M167" s="15" t="str">
        <f>"127,1272"</f>
        <v>127,1272</v>
      </c>
      <c r="N167" s="12" t="s">
        <v>20</v>
      </c>
    </row>
    <row r="168" spans="1:14" ht="12.75">
      <c r="A168" s="19" t="s">
        <v>23</v>
      </c>
      <c r="B168" s="16" t="s">
        <v>168</v>
      </c>
      <c r="C168" s="16" t="s">
        <v>169</v>
      </c>
      <c r="D168" s="16" t="s">
        <v>170</v>
      </c>
      <c r="E168" s="16" t="str">
        <f>"0,6519"</f>
        <v>0,6519</v>
      </c>
      <c r="F168" s="16" t="s">
        <v>13</v>
      </c>
      <c r="G168" s="16" t="s">
        <v>732</v>
      </c>
      <c r="H168" s="17" t="s">
        <v>69</v>
      </c>
      <c r="I168" s="17" t="s">
        <v>51</v>
      </c>
      <c r="J168" s="17" t="s">
        <v>73</v>
      </c>
      <c r="K168" s="19"/>
      <c r="L168" s="19" t="str">
        <f>"115,0"</f>
        <v>115,0</v>
      </c>
      <c r="M168" s="19" t="str">
        <f>"139,4414"</f>
        <v>139,4414</v>
      </c>
      <c r="N168" s="16" t="s">
        <v>20</v>
      </c>
    </row>
    <row r="169" ht="12.75">
      <c r="B169" s="6" t="s">
        <v>21</v>
      </c>
    </row>
    <row r="170" spans="1:13" ht="15">
      <c r="A170" s="51" t="s">
        <v>172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4" ht="12.75">
      <c r="A171" s="11" t="s">
        <v>23</v>
      </c>
      <c r="B171" s="8" t="s">
        <v>733</v>
      </c>
      <c r="C171" s="8" t="s">
        <v>734</v>
      </c>
      <c r="D171" s="8" t="s">
        <v>332</v>
      </c>
      <c r="E171" s="8" t="str">
        <f>"0,6272"</f>
        <v>0,6272</v>
      </c>
      <c r="F171" s="8" t="s">
        <v>13</v>
      </c>
      <c r="G171" s="8" t="s">
        <v>57</v>
      </c>
      <c r="H171" s="10" t="s">
        <v>43</v>
      </c>
      <c r="I171" s="9" t="s">
        <v>101</v>
      </c>
      <c r="J171" s="9" t="s">
        <v>44</v>
      </c>
      <c r="K171" s="11"/>
      <c r="L171" s="11" t="str">
        <f>"145,0"</f>
        <v>145,0</v>
      </c>
      <c r="M171" s="11" t="str">
        <f>"90,9440"</f>
        <v>90,9440</v>
      </c>
      <c r="N171" s="8" t="s">
        <v>735</v>
      </c>
    </row>
    <row r="172" spans="1:14" ht="12.75">
      <c r="A172" s="15" t="s">
        <v>23</v>
      </c>
      <c r="B172" s="12" t="s">
        <v>736</v>
      </c>
      <c r="C172" s="12" t="s">
        <v>737</v>
      </c>
      <c r="D172" s="12" t="s">
        <v>179</v>
      </c>
      <c r="E172" s="12" t="str">
        <f>"0,6136"</f>
        <v>0,6136</v>
      </c>
      <c r="F172" s="12" t="s">
        <v>13</v>
      </c>
      <c r="G172" s="12" t="s">
        <v>417</v>
      </c>
      <c r="H172" s="14" t="s">
        <v>71</v>
      </c>
      <c r="I172" s="14" t="s">
        <v>138</v>
      </c>
      <c r="J172" s="13" t="s">
        <v>133</v>
      </c>
      <c r="K172" s="15"/>
      <c r="L172" s="15" t="str">
        <f>"170,0"</f>
        <v>170,0</v>
      </c>
      <c r="M172" s="15" t="str">
        <f>"104,3120"</f>
        <v>104,3120</v>
      </c>
      <c r="N172" s="12" t="s">
        <v>738</v>
      </c>
    </row>
    <row r="173" spans="1:14" ht="12.75">
      <c r="A173" s="15" t="s">
        <v>23</v>
      </c>
      <c r="B173" s="12" t="s">
        <v>739</v>
      </c>
      <c r="C173" s="12" t="s">
        <v>740</v>
      </c>
      <c r="D173" s="12" t="s">
        <v>183</v>
      </c>
      <c r="E173" s="12" t="str">
        <f>"0,6088"</f>
        <v>0,6088</v>
      </c>
      <c r="F173" s="12" t="s">
        <v>13</v>
      </c>
      <c r="G173" s="12" t="s">
        <v>741</v>
      </c>
      <c r="H173" s="14" t="s">
        <v>138</v>
      </c>
      <c r="I173" s="13" t="s">
        <v>147</v>
      </c>
      <c r="J173" s="14" t="s">
        <v>147</v>
      </c>
      <c r="K173" s="15"/>
      <c r="L173" s="15" t="str">
        <f>"185,0"</f>
        <v>185,0</v>
      </c>
      <c r="M173" s="15" t="str">
        <f>"112,6280"</f>
        <v>112,6280</v>
      </c>
      <c r="N173" s="12" t="s">
        <v>20</v>
      </c>
    </row>
    <row r="174" spans="1:14" ht="12.75">
      <c r="A174" s="15" t="s">
        <v>47</v>
      </c>
      <c r="B174" s="12" t="s">
        <v>742</v>
      </c>
      <c r="C174" s="12" t="s">
        <v>743</v>
      </c>
      <c r="D174" s="12" t="s">
        <v>370</v>
      </c>
      <c r="E174" s="12" t="str">
        <f>"0,6101"</f>
        <v>0,6101</v>
      </c>
      <c r="F174" s="12" t="s">
        <v>13</v>
      </c>
      <c r="G174" s="12" t="s">
        <v>161</v>
      </c>
      <c r="H174" s="14" t="s">
        <v>71</v>
      </c>
      <c r="I174" s="13" t="s">
        <v>138</v>
      </c>
      <c r="J174" s="14" t="s">
        <v>138</v>
      </c>
      <c r="K174" s="15"/>
      <c r="L174" s="15" t="str">
        <f>"170,0"</f>
        <v>170,0</v>
      </c>
      <c r="M174" s="15" t="str">
        <f>"103,7170"</f>
        <v>103,7170</v>
      </c>
      <c r="N174" s="12" t="s">
        <v>20</v>
      </c>
    </row>
    <row r="175" spans="1:14" ht="12.75">
      <c r="A175" s="15" t="s">
        <v>74</v>
      </c>
      <c r="B175" s="12" t="s">
        <v>744</v>
      </c>
      <c r="C175" s="12" t="s">
        <v>745</v>
      </c>
      <c r="D175" s="12" t="s">
        <v>179</v>
      </c>
      <c r="E175" s="12" t="str">
        <f>"0,6136"</f>
        <v>0,6136</v>
      </c>
      <c r="F175" s="12" t="s">
        <v>13</v>
      </c>
      <c r="G175" s="12" t="s">
        <v>746</v>
      </c>
      <c r="H175" s="14" t="s">
        <v>123</v>
      </c>
      <c r="I175" s="13" t="s">
        <v>162</v>
      </c>
      <c r="J175" s="14" t="s">
        <v>162</v>
      </c>
      <c r="K175" s="15"/>
      <c r="L175" s="15" t="str">
        <f>"167,5"</f>
        <v>167,5</v>
      </c>
      <c r="M175" s="15" t="str">
        <f>"102,7780"</f>
        <v>102,7780</v>
      </c>
      <c r="N175" s="12" t="s">
        <v>20</v>
      </c>
    </row>
    <row r="176" spans="1:14" ht="12.75">
      <c r="A176" s="15" t="s">
        <v>23</v>
      </c>
      <c r="B176" s="12" t="s">
        <v>368</v>
      </c>
      <c r="C176" s="12" t="s">
        <v>369</v>
      </c>
      <c r="D176" s="12" t="s">
        <v>370</v>
      </c>
      <c r="E176" s="12" t="str">
        <f>"0,6101"</f>
        <v>0,6101</v>
      </c>
      <c r="F176" s="12" t="s">
        <v>13</v>
      </c>
      <c r="G176" s="12" t="s">
        <v>194</v>
      </c>
      <c r="H176" s="14" t="s">
        <v>117</v>
      </c>
      <c r="I176" s="14" t="s">
        <v>118</v>
      </c>
      <c r="J176" s="13" t="s">
        <v>122</v>
      </c>
      <c r="K176" s="15"/>
      <c r="L176" s="15" t="str">
        <f>"200,0"</f>
        <v>200,0</v>
      </c>
      <c r="M176" s="15" t="str">
        <f>"122,0200"</f>
        <v>122,0200</v>
      </c>
      <c r="N176" s="12" t="s">
        <v>371</v>
      </c>
    </row>
    <row r="177" spans="1:14" ht="12.75">
      <c r="A177" s="15" t="s">
        <v>47</v>
      </c>
      <c r="B177" s="12" t="s">
        <v>747</v>
      </c>
      <c r="C177" s="12" t="s">
        <v>748</v>
      </c>
      <c r="D177" s="12" t="s">
        <v>173</v>
      </c>
      <c r="E177" s="12" t="str">
        <f>"0,6096"</f>
        <v>0,6096</v>
      </c>
      <c r="F177" s="12" t="s">
        <v>13</v>
      </c>
      <c r="G177" s="12" t="s">
        <v>14</v>
      </c>
      <c r="H177" s="14" t="s">
        <v>117</v>
      </c>
      <c r="I177" s="14" t="s">
        <v>128</v>
      </c>
      <c r="J177" s="13" t="s">
        <v>119</v>
      </c>
      <c r="K177" s="15"/>
      <c r="L177" s="15" t="str">
        <f>"195,0"</f>
        <v>195,0</v>
      </c>
      <c r="M177" s="15" t="str">
        <f>"118,8720"</f>
        <v>118,8720</v>
      </c>
      <c r="N177" s="12" t="s">
        <v>749</v>
      </c>
    </row>
    <row r="178" spans="1:14" ht="12.75">
      <c r="A178" s="15" t="s">
        <v>74</v>
      </c>
      <c r="B178" s="12" t="s">
        <v>750</v>
      </c>
      <c r="C178" s="12" t="s">
        <v>751</v>
      </c>
      <c r="D178" s="12" t="s">
        <v>178</v>
      </c>
      <c r="E178" s="12" t="str">
        <f>"0,6126"</f>
        <v>0,6126</v>
      </c>
      <c r="F178" s="12" t="s">
        <v>13</v>
      </c>
      <c r="G178" s="12" t="s">
        <v>352</v>
      </c>
      <c r="H178" s="14" t="s">
        <v>71</v>
      </c>
      <c r="I178" s="14" t="s">
        <v>147</v>
      </c>
      <c r="J178" s="13" t="s">
        <v>117</v>
      </c>
      <c r="K178" s="15"/>
      <c r="L178" s="15" t="str">
        <f>"185,0"</f>
        <v>185,0</v>
      </c>
      <c r="M178" s="15" t="str">
        <f>"113,3310"</f>
        <v>113,3310</v>
      </c>
      <c r="N178" s="12" t="s">
        <v>20</v>
      </c>
    </row>
    <row r="179" spans="1:14" ht="12.75">
      <c r="A179" s="15" t="s">
        <v>75</v>
      </c>
      <c r="B179" s="12" t="s">
        <v>752</v>
      </c>
      <c r="C179" s="12" t="s">
        <v>753</v>
      </c>
      <c r="D179" s="12" t="s">
        <v>754</v>
      </c>
      <c r="E179" s="12" t="str">
        <f>"0,6098"</f>
        <v>0,6098</v>
      </c>
      <c r="F179" s="12" t="s">
        <v>13</v>
      </c>
      <c r="G179" s="12" t="s">
        <v>755</v>
      </c>
      <c r="H179" s="14" t="s">
        <v>121</v>
      </c>
      <c r="I179" s="14" t="s">
        <v>147</v>
      </c>
      <c r="J179" s="13" t="s">
        <v>117</v>
      </c>
      <c r="K179" s="15"/>
      <c r="L179" s="15" t="str">
        <f>"185,0"</f>
        <v>185,0</v>
      </c>
      <c r="M179" s="15" t="str">
        <f>"112,8130"</f>
        <v>112,8130</v>
      </c>
      <c r="N179" s="12" t="s">
        <v>756</v>
      </c>
    </row>
    <row r="180" spans="1:14" ht="12.75">
      <c r="A180" s="15" t="s">
        <v>95</v>
      </c>
      <c r="B180" s="12" t="s">
        <v>757</v>
      </c>
      <c r="C180" s="12" t="s">
        <v>758</v>
      </c>
      <c r="D180" s="12" t="s">
        <v>182</v>
      </c>
      <c r="E180" s="12" t="str">
        <f>"0,6106"</f>
        <v>0,6106</v>
      </c>
      <c r="F180" s="12" t="s">
        <v>759</v>
      </c>
      <c r="G180" s="12" t="s">
        <v>760</v>
      </c>
      <c r="H180" s="14" t="s">
        <v>133</v>
      </c>
      <c r="I180" s="13" t="s">
        <v>147</v>
      </c>
      <c r="J180" s="13" t="s">
        <v>147</v>
      </c>
      <c r="K180" s="15"/>
      <c r="L180" s="15" t="str">
        <f>"175,0"</f>
        <v>175,0</v>
      </c>
      <c r="M180" s="15" t="str">
        <f>"106,8550"</f>
        <v>106,8550</v>
      </c>
      <c r="N180" s="12" t="s">
        <v>20</v>
      </c>
    </row>
    <row r="181" spans="1:14" ht="12.75">
      <c r="A181" s="15" t="s">
        <v>190</v>
      </c>
      <c r="B181" s="12" t="s">
        <v>761</v>
      </c>
      <c r="C181" s="12" t="s">
        <v>762</v>
      </c>
      <c r="D181" s="12" t="s">
        <v>175</v>
      </c>
      <c r="E181" s="12" t="str">
        <f>"0,6103"</f>
        <v>0,6103</v>
      </c>
      <c r="F181" s="12" t="s">
        <v>13</v>
      </c>
      <c r="G181" s="12" t="s">
        <v>14</v>
      </c>
      <c r="H181" s="14" t="s">
        <v>133</v>
      </c>
      <c r="I181" s="13" t="s">
        <v>147</v>
      </c>
      <c r="J181" s="13" t="s">
        <v>147</v>
      </c>
      <c r="K181" s="15"/>
      <c r="L181" s="15" t="str">
        <f>"175,0"</f>
        <v>175,0</v>
      </c>
      <c r="M181" s="15" t="str">
        <f>"106,8025"</f>
        <v>106,8025</v>
      </c>
      <c r="N181" s="12" t="s">
        <v>20</v>
      </c>
    </row>
    <row r="182" spans="1:14" ht="12.75">
      <c r="A182" s="15" t="s">
        <v>336</v>
      </c>
      <c r="B182" s="12" t="s">
        <v>763</v>
      </c>
      <c r="C182" s="12" t="s">
        <v>764</v>
      </c>
      <c r="D182" s="12" t="s">
        <v>765</v>
      </c>
      <c r="E182" s="12" t="str">
        <f>"0,6172"</f>
        <v>0,6172</v>
      </c>
      <c r="F182" s="12" t="s">
        <v>13</v>
      </c>
      <c r="G182" s="12" t="s">
        <v>498</v>
      </c>
      <c r="H182" s="14" t="s">
        <v>71</v>
      </c>
      <c r="I182" s="14" t="s">
        <v>138</v>
      </c>
      <c r="J182" s="13" t="s">
        <v>133</v>
      </c>
      <c r="K182" s="15"/>
      <c r="L182" s="15" t="str">
        <f>"170,0"</f>
        <v>170,0</v>
      </c>
      <c r="M182" s="15" t="str">
        <f>"104,9240"</f>
        <v>104,9240</v>
      </c>
      <c r="N182" s="12" t="s">
        <v>766</v>
      </c>
    </row>
    <row r="183" spans="1:14" ht="12.75">
      <c r="A183" s="15" t="s">
        <v>338</v>
      </c>
      <c r="B183" s="12" t="s">
        <v>767</v>
      </c>
      <c r="C183" s="12" t="s">
        <v>768</v>
      </c>
      <c r="D183" s="12" t="s">
        <v>769</v>
      </c>
      <c r="E183" s="12" t="str">
        <f>"0,6254"</f>
        <v>0,6254</v>
      </c>
      <c r="F183" s="12" t="s">
        <v>13</v>
      </c>
      <c r="G183" s="12" t="s">
        <v>180</v>
      </c>
      <c r="H183" s="14" t="s">
        <v>123</v>
      </c>
      <c r="I183" s="13" t="s">
        <v>162</v>
      </c>
      <c r="J183" s="13" t="s">
        <v>162</v>
      </c>
      <c r="K183" s="15"/>
      <c r="L183" s="15" t="str">
        <f>"162,5"</f>
        <v>162,5</v>
      </c>
      <c r="M183" s="15" t="str">
        <f>"101,6275"</f>
        <v>101,6275</v>
      </c>
      <c r="N183" s="12" t="s">
        <v>299</v>
      </c>
    </row>
    <row r="184" spans="1:14" ht="12.75">
      <c r="A184" s="15" t="s">
        <v>347</v>
      </c>
      <c r="B184" s="12" t="s">
        <v>770</v>
      </c>
      <c r="C184" s="12" t="s">
        <v>771</v>
      </c>
      <c r="D184" s="12" t="s">
        <v>244</v>
      </c>
      <c r="E184" s="12" t="str">
        <f>"0,6091"</f>
        <v>0,6091</v>
      </c>
      <c r="F184" s="12" t="s">
        <v>13</v>
      </c>
      <c r="G184" s="12" t="s">
        <v>14</v>
      </c>
      <c r="H184" s="14" t="s">
        <v>176</v>
      </c>
      <c r="I184" s="13" t="s">
        <v>123</v>
      </c>
      <c r="J184" s="13" t="s">
        <v>123</v>
      </c>
      <c r="K184" s="15"/>
      <c r="L184" s="15" t="str">
        <f>"157,5"</f>
        <v>157,5</v>
      </c>
      <c r="M184" s="15" t="str">
        <f>"95,9332"</f>
        <v>95,9332</v>
      </c>
      <c r="N184" s="12" t="s">
        <v>20</v>
      </c>
    </row>
    <row r="185" spans="1:14" ht="12.75">
      <c r="A185" s="15" t="s">
        <v>571</v>
      </c>
      <c r="B185" s="12" t="s">
        <v>772</v>
      </c>
      <c r="C185" s="12" t="s">
        <v>773</v>
      </c>
      <c r="D185" s="12" t="s">
        <v>774</v>
      </c>
      <c r="E185" s="12" t="str">
        <f>"0,6155"</f>
        <v>0,6155</v>
      </c>
      <c r="F185" s="12" t="s">
        <v>13</v>
      </c>
      <c r="G185" s="12" t="s">
        <v>14</v>
      </c>
      <c r="H185" s="14" t="s">
        <v>88</v>
      </c>
      <c r="I185" s="14" t="s">
        <v>101</v>
      </c>
      <c r="J185" s="13" t="s">
        <v>94</v>
      </c>
      <c r="K185" s="15"/>
      <c r="L185" s="15" t="str">
        <f>"140,0"</f>
        <v>140,0</v>
      </c>
      <c r="M185" s="15" t="str">
        <f>"86,1700"</f>
        <v>86,1700</v>
      </c>
      <c r="N185" s="12" t="s">
        <v>775</v>
      </c>
    </row>
    <row r="186" spans="1:14" ht="12.75">
      <c r="A186" s="15" t="s">
        <v>572</v>
      </c>
      <c r="B186" s="12" t="s">
        <v>776</v>
      </c>
      <c r="C186" s="12" t="s">
        <v>777</v>
      </c>
      <c r="D186" s="12" t="s">
        <v>778</v>
      </c>
      <c r="E186" s="12" t="str">
        <f>"0,6152"</f>
        <v>0,6152</v>
      </c>
      <c r="F186" s="12" t="s">
        <v>13</v>
      </c>
      <c r="G186" s="12" t="s">
        <v>313</v>
      </c>
      <c r="H186" s="14" t="s">
        <v>101</v>
      </c>
      <c r="I186" s="13" t="s">
        <v>123</v>
      </c>
      <c r="J186" s="13" t="s">
        <v>123</v>
      </c>
      <c r="K186" s="15"/>
      <c r="L186" s="15" t="str">
        <f>"140,0"</f>
        <v>140,0</v>
      </c>
      <c r="M186" s="15" t="str">
        <f>"86,1280"</f>
        <v>86,1280</v>
      </c>
      <c r="N186" s="12" t="s">
        <v>20</v>
      </c>
    </row>
    <row r="187" spans="1:14" ht="12.75">
      <c r="A187" s="15" t="s">
        <v>577</v>
      </c>
      <c r="B187" s="12" t="s">
        <v>308</v>
      </c>
      <c r="C187" s="12" t="s">
        <v>309</v>
      </c>
      <c r="D187" s="12" t="s">
        <v>310</v>
      </c>
      <c r="E187" s="12" t="str">
        <f>"0,6129"</f>
        <v>0,6129</v>
      </c>
      <c r="F187" s="12" t="s">
        <v>259</v>
      </c>
      <c r="G187" s="12" t="s">
        <v>260</v>
      </c>
      <c r="H187" s="14" t="s">
        <v>53</v>
      </c>
      <c r="I187" s="14" t="s">
        <v>88</v>
      </c>
      <c r="J187" s="13" t="s">
        <v>43</v>
      </c>
      <c r="K187" s="15"/>
      <c r="L187" s="15" t="str">
        <f>"130,0"</f>
        <v>130,0</v>
      </c>
      <c r="M187" s="15" t="str">
        <f>"79,6770"</f>
        <v>79,6770</v>
      </c>
      <c r="N187" s="12" t="s">
        <v>288</v>
      </c>
    </row>
    <row r="188" spans="1:14" ht="12.75">
      <c r="A188" s="15" t="s">
        <v>12</v>
      </c>
      <c r="B188" s="12" t="s">
        <v>779</v>
      </c>
      <c r="C188" s="12" t="s">
        <v>780</v>
      </c>
      <c r="D188" s="12" t="s">
        <v>175</v>
      </c>
      <c r="E188" s="12" t="str">
        <f>"0,6103"</f>
        <v>0,6103</v>
      </c>
      <c r="F188" s="12" t="s">
        <v>13</v>
      </c>
      <c r="G188" s="12" t="s">
        <v>781</v>
      </c>
      <c r="H188" s="13" t="s">
        <v>133</v>
      </c>
      <c r="I188" s="13" t="s">
        <v>121</v>
      </c>
      <c r="J188" s="13" t="s">
        <v>121</v>
      </c>
      <c r="K188" s="15"/>
      <c r="L188" s="15" t="str">
        <f>"0.00"</f>
        <v>0.00</v>
      </c>
      <c r="M188" s="15" t="str">
        <f>"0,0000"</f>
        <v>0,0000</v>
      </c>
      <c r="N188" s="12" t="s">
        <v>782</v>
      </c>
    </row>
    <row r="189" spans="1:14" ht="12.75">
      <c r="A189" s="15" t="s">
        <v>23</v>
      </c>
      <c r="B189" s="12" t="s">
        <v>783</v>
      </c>
      <c r="C189" s="12" t="s">
        <v>784</v>
      </c>
      <c r="D189" s="12" t="s">
        <v>785</v>
      </c>
      <c r="E189" s="12" t="str">
        <f>"0,6163"</f>
        <v>0,6163</v>
      </c>
      <c r="F189" s="12" t="s">
        <v>13</v>
      </c>
      <c r="G189" s="12" t="s">
        <v>14</v>
      </c>
      <c r="H189" s="14" t="s">
        <v>195</v>
      </c>
      <c r="I189" s="14" t="s">
        <v>121</v>
      </c>
      <c r="J189" s="14" t="s">
        <v>147</v>
      </c>
      <c r="K189" s="15"/>
      <c r="L189" s="15" t="str">
        <f>"185,0"</f>
        <v>185,0</v>
      </c>
      <c r="M189" s="15" t="str">
        <f>"114,5856"</f>
        <v>114,5856</v>
      </c>
      <c r="N189" s="12" t="s">
        <v>786</v>
      </c>
    </row>
    <row r="190" spans="1:14" ht="12.75">
      <c r="A190" s="15" t="s">
        <v>47</v>
      </c>
      <c r="B190" s="12" t="s">
        <v>787</v>
      </c>
      <c r="C190" s="12" t="s">
        <v>788</v>
      </c>
      <c r="D190" s="12" t="s">
        <v>754</v>
      </c>
      <c r="E190" s="12" t="str">
        <f>"0,6098"</f>
        <v>0,6098</v>
      </c>
      <c r="F190" s="12" t="s">
        <v>13</v>
      </c>
      <c r="G190" s="12" t="s">
        <v>352</v>
      </c>
      <c r="H190" s="14" t="s">
        <v>133</v>
      </c>
      <c r="I190" s="14" t="s">
        <v>163</v>
      </c>
      <c r="J190" s="13" t="s">
        <v>147</v>
      </c>
      <c r="K190" s="15"/>
      <c r="L190" s="15" t="str">
        <f>"182,5"</f>
        <v>182,5</v>
      </c>
      <c r="M190" s="15" t="str">
        <f>"114,4046"</f>
        <v>114,4046</v>
      </c>
      <c r="N190" s="12" t="s">
        <v>789</v>
      </c>
    </row>
    <row r="191" spans="1:14" ht="12.75">
      <c r="A191" s="15" t="s">
        <v>74</v>
      </c>
      <c r="B191" s="12" t="s">
        <v>790</v>
      </c>
      <c r="C191" s="12" t="s">
        <v>791</v>
      </c>
      <c r="D191" s="12" t="s">
        <v>792</v>
      </c>
      <c r="E191" s="12" t="str">
        <f>"0,6288"</f>
        <v>0,6288</v>
      </c>
      <c r="F191" s="12" t="s">
        <v>13</v>
      </c>
      <c r="G191" s="12" t="s">
        <v>793</v>
      </c>
      <c r="H191" s="14" t="s">
        <v>133</v>
      </c>
      <c r="I191" s="14" t="s">
        <v>121</v>
      </c>
      <c r="J191" s="13" t="s">
        <v>163</v>
      </c>
      <c r="K191" s="15"/>
      <c r="L191" s="15" t="str">
        <f>"180,0"</f>
        <v>180,0</v>
      </c>
      <c r="M191" s="15" t="str">
        <f>"119,9750"</f>
        <v>119,9750</v>
      </c>
      <c r="N191" s="12" t="s">
        <v>20</v>
      </c>
    </row>
    <row r="192" spans="1:14" ht="12.75">
      <c r="A192" s="15" t="s">
        <v>75</v>
      </c>
      <c r="B192" s="12" t="s">
        <v>794</v>
      </c>
      <c r="C192" s="12" t="s">
        <v>795</v>
      </c>
      <c r="D192" s="12" t="s">
        <v>796</v>
      </c>
      <c r="E192" s="12" t="str">
        <f>"0,6311"</f>
        <v>0,6311</v>
      </c>
      <c r="F192" s="12" t="s">
        <v>13</v>
      </c>
      <c r="G192" s="12" t="s">
        <v>14</v>
      </c>
      <c r="H192" s="14" t="s">
        <v>70</v>
      </c>
      <c r="I192" s="14" t="s">
        <v>138</v>
      </c>
      <c r="J192" s="13" t="s">
        <v>133</v>
      </c>
      <c r="K192" s="15"/>
      <c r="L192" s="15" t="str">
        <f>"170,0"</f>
        <v>170,0</v>
      </c>
      <c r="M192" s="15" t="str">
        <f>"107,2870"</f>
        <v>107,2870</v>
      </c>
      <c r="N192" s="12" t="s">
        <v>20</v>
      </c>
    </row>
    <row r="193" spans="1:14" ht="12.75">
      <c r="A193" s="15" t="s">
        <v>95</v>
      </c>
      <c r="B193" s="12" t="s">
        <v>763</v>
      </c>
      <c r="C193" s="12" t="s">
        <v>797</v>
      </c>
      <c r="D193" s="12" t="s">
        <v>765</v>
      </c>
      <c r="E193" s="12" t="str">
        <f>"0,6172"</f>
        <v>0,6172</v>
      </c>
      <c r="F193" s="12" t="s">
        <v>13</v>
      </c>
      <c r="G193" s="12" t="s">
        <v>514</v>
      </c>
      <c r="H193" s="14" t="s">
        <v>71</v>
      </c>
      <c r="I193" s="14" t="s">
        <v>138</v>
      </c>
      <c r="J193" s="13" t="s">
        <v>133</v>
      </c>
      <c r="K193" s="15"/>
      <c r="L193" s="15" t="str">
        <f>"170,0"</f>
        <v>170,0</v>
      </c>
      <c r="M193" s="15" t="str">
        <f>"106,3929"</f>
        <v>106,3929</v>
      </c>
      <c r="N193" s="12" t="s">
        <v>766</v>
      </c>
    </row>
    <row r="194" spans="1:14" ht="12.75">
      <c r="A194" s="15" t="s">
        <v>190</v>
      </c>
      <c r="B194" s="12" t="s">
        <v>798</v>
      </c>
      <c r="C194" s="12" t="s">
        <v>799</v>
      </c>
      <c r="D194" s="12" t="s">
        <v>175</v>
      </c>
      <c r="E194" s="12" t="str">
        <f>"0,6103"</f>
        <v>0,6103</v>
      </c>
      <c r="F194" s="12" t="s">
        <v>13</v>
      </c>
      <c r="G194" s="12" t="s">
        <v>14</v>
      </c>
      <c r="H194" s="14" t="s">
        <v>71</v>
      </c>
      <c r="I194" s="14" t="s">
        <v>138</v>
      </c>
      <c r="J194" s="13" t="s">
        <v>133</v>
      </c>
      <c r="K194" s="15"/>
      <c r="L194" s="15" t="str">
        <f>"170,0"</f>
        <v>170,0</v>
      </c>
      <c r="M194" s="15" t="str">
        <f>"105,2035"</f>
        <v>105,2035</v>
      </c>
      <c r="N194" s="12" t="s">
        <v>111</v>
      </c>
    </row>
    <row r="195" spans="1:14" ht="12.75">
      <c r="A195" s="15" t="s">
        <v>336</v>
      </c>
      <c r="B195" s="12" t="s">
        <v>800</v>
      </c>
      <c r="C195" s="12" t="s">
        <v>801</v>
      </c>
      <c r="D195" s="12" t="s">
        <v>769</v>
      </c>
      <c r="E195" s="12" t="str">
        <f>"0,6254"</f>
        <v>0,6254</v>
      </c>
      <c r="F195" s="12" t="s">
        <v>802</v>
      </c>
      <c r="G195" s="12" t="s">
        <v>353</v>
      </c>
      <c r="H195" s="14" t="s">
        <v>70</v>
      </c>
      <c r="I195" s="13" t="s">
        <v>71</v>
      </c>
      <c r="J195" s="14" t="s">
        <v>71</v>
      </c>
      <c r="K195" s="15"/>
      <c r="L195" s="15" t="str">
        <f>"165,0"</f>
        <v>165,0</v>
      </c>
      <c r="M195" s="15" t="str">
        <f>"107,7314"</f>
        <v>107,7314</v>
      </c>
      <c r="N195" s="12" t="s">
        <v>803</v>
      </c>
    </row>
    <row r="196" spans="1:14" ht="12.75">
      <c r="A196" s="15" t="s">
        <v>338</v>
      </c>
      <c r="B196" s="12" t="s">
        <v>804</v>
      </c>
      <c r="C196" s="12" t="s">
        <v>805</v>
      </c>
      <c r="D196" s="12" t="s">
        <v>806</v>
      </c>
      <c r="E196" s="12" t="str">
        <f>"0,6150"</f>
        <v>0,6150</v>
      </c>
      <c r="F196" s="12" t="s">
        <v>37</v>
      </c>
      <c r="G196" s="12" t="s">
        <v>807</v>
      </c>
      <c r="H196" s="14" t="s">
        <v>45</v>
      </c>
      <c r="I196" s="14" t="s">
        <v>176</v>
      </c>
      <c r="J196" s="14" t="s">
        <v>71</v>
      </c>
      <c r="K196" s="15"/>
      <c r="L196" s="15" t="str">
        <f>"165,0"</f>
        <v>165,0</v>
      </c>
      <c r="M196" s="15" t="str">
        <f>"101,9824"</f>
        <v>101,9824</v>
      </c>
      <c r="N196" s="12" t="s">
        <v>177</v>
      </c>
    </row>
    <row r="197" spans="1:14" ht="12.75">
      <c r="A197" s="15" t="s">
        <v>23</v>
      </c>
      <c r="B197" s="12" t="s">
        <v>808</v>
      </c>
      <c r="C197" s="12" t="s">
        <v>809</v>
      </c>
      <c r="D197" s="12" t="s">
        <v>178</v>
      </c>
      <c r="E197" s="12" t="str">
        <f>"0,6126"</f>
        <v>0,6126</v>
      </c>
      <c r="F197" s="12" t="s">
        <v>37</v>
      </c>
      <c r="G197" s="12" t="s">
        <v>810</v>
      </c>
      <c r="H197" s="14" t="s">
        <v>70</v>
      </c>
      <c r="I197" s="14" t="s">
        <v>71</v>
      </c>
      <c r="J197" s="13" t="s">
        <v>138</v>
      </c>
      <c r="K197" s="15"/>
      <c r="L197" s="15" t="str">
        <f>"165,0"</f>
        <v>165,0</v>
      </c>
      <c r="M197" s="15" t="str">
        <f>"118,0603"</f>
        <v>118,0603</v>
      </c>
      <c r="N197" s="12" t="s">
        <v>20</v>
      </c>
    </row>
    <row r="198" spans="1:14" ht="12.75">
      <c r="A198" s="19" t="s">
        <v>23</v>
      </c>
      <c r="B198" s="16" t="s">
        <v>811</v>
      </c>
      <c r="C198" s="16" t="s">
        <v>812</v>
      </c>
      <c r="D198" s="16" t="s">
        <v>307</v>
      </c>
      <c r="E198" s="16" t="str">
        <f>"0,6147"</f>
        <v>0,6147</v>
      </c>
      <c r="F198" s="16" t="s">
        <v>13</v>
      </c>
      <c r="G198" s="16" t="s">
        <v>246</v>
      </c>
      <c r="H198" s="17" t="s">
        <v>43</v>
      </c>
      <c r="I198" s="17" t="s">
        <v>127</v>
      </c>
      <c r="J198" s="17" t="s">
        <v>101</v>
      </c>
      <c r="K198" s="19"/>
      <c r="L198" s="19" t="str">
        <f>"140,0"</f>
        <v>140,0</v>
      </c>
      <c r="M198" s="19" t="str">
        <f>"149,7409"</f>
        <v>149,7409</v>
      </c>
      <c r="N198" s="16" t="s">
        <v>20</v>
      </c>
    </row>
    <row r="199" ht="12.75">
      <c r="B199" s="6" t="s">
        <v>21</v>
      </c>
    </row>
    <row r="200" spans="1:13" ht="15">
      <c r="A200" s="51" t="s">
        <v>185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</row>
    <row r="201" spans="1:14" ht="12.75">
      <c r="A201" s="11" t="s">
        <v>23</v>
      </c>
      <c r="B201" s="8" t="s">
        <v>813</v>
      </c>
      <c r="C201" s="8" t="s">
        <v>427</v>
      </c>
      <c r="D201" s="8" t="s">
        <v>378</v>
      </c>
      <c r="E201" s="8" t="str">
        <f>"0,5976"</f>
        <v>0,5976</v>
      </c>
      <c r="F201" s="8" t="s">
        <v>13</v>
      </c>
      <c r="G201" s="8" t="s">
        <v>670</v>
      </c>
      <c r="H201" s="9" t="s">
        <v>122</v>
      </c>
      <c r="I201" s="9" t="s">
        <v>139</v>
      </c>
      <c r="J201" s="9" t="s">
        <v>136</v>
      </c>
      <c r="K201" s="11"/>
      <c r="L201" s="11" t="str">
        <f>"215,0"</f>
        <v>215,0</v>
      </c>
      <c r="M201" s="11" t="str">
        <f>"128,4840"</f>
        <v>128,4840</v>
      </c>
      <c r="N201" s="8" t="s">
        <v>814</v>
      </c>
    </row>
    <row r="202" spans="1:14" ht="12.75">
      <c r="A202" s="15" t="s">
        <v>47</v>
      </c>
      <c r="B202" s="12" t="s">
        <v>815</v>
      </c>
      <c r="C202" s="12" t="s">
        <v>816</v>
      </c>
      <c r="D202" s="12" t="s">
        <v>817</v>
      </c>
      <c r="E202" s="12" t="str">
        <f>"0,5948"</f>
        <v>0,5948</v>
      </c>
      <c r="F202" s="12" t="s">
        <v>13</v>
      </c>
      <c r="G202" s="12" t="s">
        <v>194</v>
      </c>
      <c r="H202" s="13" t="s">
        <v>122</v>
      </c>
      <c r="I202" s="14" t="s">
        <v>149</v>
      </c>
      <c r="J202" s="13" t="s">
        <v>150</v>
      </c>
      <c r="K202" s="15"/>
      <c r="L202" s="15" t="str">
        <f>"212,5"</f>
        <v>212,5</v>
      </c>
      <c r="M202" s="15" t="str">
        <f>"126,3950"</f>
        <v>126,3950</v>
      </c>
      <c r="N202" s="12" t="s">
        <v>20</v>
      </c>
    </row>
    <row r="203" spans="1:14" ht="12.75">
      <c r="A203" s="15" t="s">
        <v>74</v>
      </c>
      <c r="B203" s="12" t="s">
        <v>818</v>
      </c>
      <c r="C203" s="12" t="s">
        <v>819</v>
      </c>
      <c r="D203" s="12" t="s">
        <v>820</v>
      </c>
      <c r="E203" s="12" t="str">
        <f>"0,5892"</f>
        <v>0,5892</v>
      </c>
      <c r="F203" s="12" t="s">
        <v>13</v>
      </c>
      <c r="G203" s="12" t="s">
        <v>14</v>
      </c>
      <c r="H203" s="14" t="s">
        <v>147</v>
      </c>
      <c r="I203" s="14" t="s">
        <v>128</v>
      </c>
      <c r="J203" s="13" t="s">
        <v>118</v>
      </c>
      <c r="K203" s="15"/>
      <c r="L203" s="15" t="str">
        <f>"195,0"</f>
        <v>195,0</v>
      </c>
      <c r="M203" s="15" t="str">
        <f>"114,8940"</f>
        <v>114,8940</v>
      </c>
      <c r="N203" s="12" t="s">
        <v>20</v>
      </c>
    </row>
    <row r="204" spans="1:14" ht="12.75">
      <c r="A204" s="15" t="s">
        <v>75</v>
      </c>
      <c r="B204" s="12" t="s">
        <v>821</v>
      </c>
      <c r="C204" s="12" t="s">
        <v>822</v>
      </c>
      <c r="D204" s="12" t="s">
        <v>378</v>
      </c>
      <c r="E204" s="12" t="str">
        <f>"0,5976"</f>
        <v>0,5976</v>
      </c>
      <c r="F204" s="12" t="s">
        <v>13</v>
      </c>
      <c r="G204" s="12" t="s">
        <v>349</v>
      </c>
      <c r="H204" s="13" t="s">
        <v>121</v>
      </c>
      <c r="I204" s="14" t="s">
        <v>121</v>
      </c>
      <c r="J204" s="13" t="s">
        <v>147</v>
      </c>
      <c r="K204" s="15"/>
      <c r="L204" s="15" t="str">
        <f>"180,0"</f>
        <v>180,0</v>
      </c>
      <c r="M204" s="15" t="str">
        <f>"107,5680"</f>
        <v>107,5680</v>
      </c>
      <c r="N204" s="12" t="s">
        <v>823</v>
      </c>
    </row>
    <row r="205" spans="1:14" ht="12.75">
      <c r="A205" s="15" t="s">
        <v>95</v>
      </c>
      <c r="B205" s="12" t="s">
        <v>824</v>
      </c>
      <c r="C205" s="12" t="s">
        <v>825</v>
      </c>
      <c r="D205" s="12" t="s">
        <v>826</v>
      </c>
      <c r="E205" s="12" t="str">
        <f>"0,6055"</f>
        <v>0,6055</v>
      </c>
      <c r="F205" s="12" t="s">
        <v>13</v>
      </c>
      <c r="G205" s="12" t="s">
        <v>827</v>
      </c>
      <c r="H205" s="14" t="s">
        <v>67</v>
      </c>
      <c r="I205" s="14" t="s">
        <v>43</v>
      </c>
      <c r="J205" s="14" t="s">
        <v>44</v>
      </c>
      <c r="K205" s="15"/>
      <c r="L205" s="15" t="str">
        <f>"145,0"</f>
        <v>145,0</v>
      </c>
      <c r="M205" s="15" t="str">
        <f>"87,7975"</f>
        <v>87,7975</v>
      </c>
      <c r="N205" s="12" t="s">
        <v>828</v>
      </c>
    </row>
    <row r="206" spans="1:14" ht="12.75">
      <c r="A206" s="15" t="s">
        <v>23</v>
      </c>
      <c r="B206" s="12" t="s">
        <v>829</v>
      </c>
      <c r="C206" s="12" t="s">
        <v>830</v>
      </c>
      <c r="D206" s="12" t="s">
        <v>187</v>
      </c>
      <c r="E206" s="12" t="str">
        <f>"0,5903"</f>
        <v>0,5903</v>
      </c>
      <c r="F206" s="12" t="s">
        <v>13</v>
      </c>
      <c r="G206" s="12" t="s">
        <v>831</v>
      </c>
      <c r="H206" s="14" t="s">
        <v>138</v>
      </c>
      <c r="I206" s="14" t="s">
        <v>146</v>
      </c>
      <c r="J206" s="13" t="s">
        <v>121</v>
      </c>
      <c r="K206" s="15"/>
      <c r="L206" s="15" t="str">
        <f>"177,5"</f>
        <v>177,5</v>
      </c>
      <c r="M206" s="15" t="str">
        <f>"105,3021"</f>
        <v>105,3021</v>
      </c>
      <c r="N206" s="12" t="s">
        <v>832</v>
      </c>
    </row>
    <row r="207" spans="1:14" ht="12.75">
      <c r="A207" s="15" t="s">
        <v>47</v>
      </c>
      <c r="B207" s="12" t="s">
        <v>191</v>
      </c>
      <c r="C207" s="12" t="s">
        <v>192</v>
      </c>
      <c r="D207" s="12" t="s">
        <v>193</v>
      </c>
      <c r="E207" s="12" t="str">
        <f>"0,5930"</f>
        <v>0,5930</v>
      </c>
      <c r="F207" s="12" t="s">
        <v>13</v>
      </c>
      <c r="G207" s="12" t="s">
        <v>194</v>
      </c>
      <c r="H207" s="14" t="s">
        <v>70</v>
      </c>
      <c r="I207" s="14" t="s">
        <v>195</v>
      </c>
      <c r="J207" s="13" t="s">
        <v>146</v>
      </c>
      <c r="K207" s="15"/>
      <c r="L207" s="15" t="str">
        <f>"172,5"</f>
        <v>172,5</v>
      </c>
      <c r="M207" s="15" t="str">
        <f>"105,1567"</f>
        <v>105,1567</v>
      </c>
      <c r="N207" s="12" t="s">
        <v>20</v>
      </c>
    </row>
    <row r="208" spans="1:14" ht="12.75">
      <c r="A208" s="15" t="s">
        <v>74</v>
      </c>
      <c r="B208" s="12" t="s">
        <v>833</v>
      </c>
      <c r="C208" s="12" t="s">
        <v>834</v>
      </c>
      <c r="D208" s="12" t="s">
        <v>835</v>
      </c>
      <c r="E208" s="12" t="str">
        <f>"0,5895"</f>
        <v>0,5895</v>
      </c>
      <c r="F208" s="12" t="s">
        <v>13</v>
      </c>
      <c r="G208" s="12" t="s">
        <v>14</v>
      </c>
      <c r="H208" s="13" t="s">
        <v>70</v>
      </c>
      <c r="I208" s="14" t="s">
        <v>70</v>
      </c>
      <c r="J208" s="14" t="s">
        <v>138</v>
      </c>
      <c r="K208" s="15"/>
      <c r="L208" s="15" t="str">
        <f>"170,0"</f>
        <v>170,0</v>
      </c>
      <c r="M208" s="15" t="str">
        <f>"100,7161"</f>
        <v>100,7161</v>
      </c>
      <c r="N208" s="12" t="s">
        <v>20</v>
      </c>
    </row>
    <row r="209" spans="1:14" ht="12.75">
      <c r="A209" s="15" t="s">
        <v>75</v>
      </c>
      <c r="B209" s="12" t="s">
        <v>836</v>
      </c>
      <c r="C209" s="12" t="s">
        <v>837</v>
      </c>
      <c r="D209" s="12" t="s">
        <v>838</v>
      </c>
      <c r="E209" s="12" t="str">
        <f>"0,5943"</f>
        <v>0,5943</v>
      </c>
      <c r="F209" s="12" t="s">
        <v>13</v>
      </c>
      <c r="G209" s="12" t="s">
        <v>167</v>
      </c>
      <c r="H209" s="14" t="s">
        <v>101</v>
      </c>
      <c r="I209" s="13" t="s">
        <v>94</v>
      </c>
      <c r="J209" s="14" t="s">
        <v>94</v>
      </c>
      <c r="K209" s="15"/>
      <c r="L209" s="15" t="str">
        <f>"147,5"</f>
        <v>147,5</v>
      </c>
      <c r="M209" s="15" t="str">
        <f>"90,1137"</f>
        <v>90,1137</v>
      </c>
      <c r="N209" s="12" t="s">
        <v>20</v>
      </c>
    </row>
    <row r="210" spans="1:14" ht="12.75">
      <c r="A210" s="19" t="s">
        <v>23</v>
      </c>
      <c r="B210" s="16" t="s">
        <v>839</v>
      </c>
      <c r="C210" s="16" t="s">
        <v>840</v>
      </c>
      <c r="D210" s="16" t="s">
        <v>841</v>
      </c>
      <c r="E210" s="16" t="str">
        <f>"0,5900"</f>
        <v>0,5900</v>
      </c>
      <c r="F210" s="16" t="s">
        <v>13</v>
      </c>
      <c r="G210" s="16" t="s">
        <v>145</v>
      </c>
      <c r="H210" s="17" t="s">
        <v>70</v>
      </c>
      <c r="I210" s="18" t="s">
        <v>162</v>
      </c>
      <c r="J210" s="18" t="s">
        <v>162</v>
      </c>
      <c r="K210" s="19"/>
      <c r="L210" s="19" t="str">
        <f>"160,0"</f>
        <v>160,0</v>
      </c>
      <c r="M210" s="19" t="str">
        <f>"108,5600"</f>
        <v>108,5600</v>
      </c>
      <c r="N210" s="16" t="s">
        <v>842</v>
      </c>
    </row>
    <row r="211" ht="12.75">
      <c r="B211" s="6" t="s">
        <v>21</v>
      </c>
    </row>
    <row r="212" spans="1:13" ht="15">
      <c r="A212" s="51" t="s">
        <v>196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</row>
    <row r="213" spans="1:14" ht="12.75">
      <c r="A213" s="11" t="s">
        <v>23</v>
      </c>
      <c r="B213" s="8" t="s">
        <v>197</v>
      </c>
      <c r="C213" s="8" t="s">
        <v>198</v>
      </c>
      <c r="D213" s="8" t="s">
        <v>199</v>
      </c>
      <c r="E213" s="8" t="str">
        <f>"0,5812"</f>
        <v>0,5812</v>
      </c>
      <c r="F213" s="8" t="s">
        <v>13</v>
      </c>
      <c r="G213" s="8" t="s">
        <v>79</v>
      </c>
      <c r="H213" s="9" t="s">
        <v>73</v>
      </c>
      <c r="I213" s="9" t="s">
        <v>58</v>
      </c>
      <c r="J213" s="10" t="s">
        <v>88</v>
      </c>
      <c r="K213" s="11"/>
      <c r="L213" s="11" t="str">
        <f>"125,0"</f>
        <v>125,0</v>
      </c>
      <c r="M213" s="11" t="str">
        <f>"72,6500"</f>
        <v>72,6500</v>
      </c>
      <c r="N213" s="8" t="s">
        <v>200</v>
      </c>
    </row>
    <row r="214" spans="1:14" ht="12.75">
      <c r="A214" s="15" t="s">
        <v>23</v>
      </c>
      <c r="B214" s="12" t="s">
        <v>843</v>
      </c>
      <c r="C214" s="12" t="s">
        <v>844</v>
      </c>
      <c r="D214" s="12" t="s">
        <v>845</v>
      </c>
      <c r="E214" s="12" t="str">
        <f>"0,5858"</f>
        <v>0,5858</v>
      </c>
      <c r="F214" s="12" t="s">
        <v>37</v>
      </c>
      <c r="G214" s="12" t="s">
        <v>14</v>
      </c>
      <c r="H214" s="14" t="s">
        <v>44</v>
      </c>
      <c r="I214" s="13" t="s">
        <v>92</v>
      </c>
      <c r="J214" s="14" t="s">
        <v>92</v>
      </c>
      <c r="K214" s="15"/>
      <c r="L214" s="15" t="str">
        <f>"152,5"</f>
        <v>152,5</v>
      </c>
      <c r="M214" s="15" t="str">
        <f>"89,3345"</f>
        <v>89,3345</v>
      </c>
      <c r="N214" s="12" t="s">
        <v>20</v>
      </c>
    </row>
    <row r="215" spans="1:14" ht="12.75">
      <c r="A215" s="15" t="s">
        <v>23</v>
      </c>
      <c r="B215" s="12" t="s">
        <v>846</v>
      </c>
      <c r="C215" s="12" t="s">
        <v>847</v>
      </c>
      <c r="D215" s="12" t="s">
        <v>848</v>
      </c>
      <c r="E215" s="12" t="str">
        <f>"0,5870"</f>
        <v>0,5870</v>
      </c>
      <c r="F215" s="12" t="s">
        <v>37</v>
      </c>
      <c r="G215" s="12" t="s">
        <v>849</v>
      </c>
      <c r="H215" s="14" t="s">
        <v>122</v>
      </c>
      <c r="I215" s="14" t="s">
        <v>149</v>
      </c>
      <c r="J215" s="14" t="s">
        <v>136</v>
      </c>
      <c r="K215" s="15"/>
      <c r="L215" s="15" t="str">
        <f>"215,0"</f>
        <v>215,0</v>
      </c>
      <c r="M215" s="15" t="str">
        <f>"126,2050"</f>
        <v>126,2050</v>
      </c>
      <c r="N215" s="12" t="s">
        <v>299</v>
      </c>
    </row>
    <row r="216" spans="1:14" ht="12.75">
      <c r="A216" s="15" t="s">
        <v>47</v>
      </c>
      <c r="B216" s="12" t="s">
        <v>850</v>
      </c>
      <c r="C216" s="12" t="s">
        <v>851</v>
      </c>
      <c r="D216" s="12" t="s">
        <v>852</v>
      </c>
      <c r="E216" s="12" t="str">
        <f>"0,5803"</f>
        <v>0,5803</v>
      </c>
      <c r="F216" s="12" t="s">
        <v>13</v>
      </c>
      <c r="G216" s="12" t="s">
        <v>145</v>
      </c>
      <c r="H216" s="14" t="s">
        <v>119</v>
      </c>
      <c r="I216" s="14" t="s">
        <v>142</v>
      </c>
      <c r="J216" s="13" t="s">
        <v>149</v>
      </c>
      <c r="K216" s="15"/>
      <c r="L216" s="15" t="str">
        <f>"207,5"</f>
        <v>207,5</v>
      </c>
      <c r="M216" s="15" t="str">
        <f>"120,4122"</f>
        <v>120,4122</v>
      </c>
      <c r="N216" s="12" t="s">
        <v>853</v>
      </c>
    </row>
    <row r="217" spans="1:14" ht="12.75">
      <c r="A217" s="15" t="s">
        <v>74</v>
      </c>
      <c r="B217" s="12" t="s">
        <v>854</v>
      </c>
      <c r="C217" s="12" t="s">
        <v>855</v>
      </c>
      <c r="D217" s="12" t="s">
        <v>856</v>
      </c>
      <c r="E217" s="12" t="str">
        <f>"0,5718"</f>
        <v>0,5718</v>
      </c>
      <c r="F217" s="12" t="s">
        <v>13</v>
      </c>
      <c r="G217" s="12" t="s">
        <v>330</v>
      </c>
      <c r="H217" s="14" t="s">
        <v>117</v>
      </c>
      <c r="I217" s="14" t="s">
        <v>152</v>
      </c>
      <c r="J217" s="14" t="s">
        <v>119</v>
      </c>
      <c r="K217" s="15"/>
      <c r="L217" s="15" t="str">
        <f>"202,5"</f>
        <v>202,5</v>
      </c>
      <c r="M217" s="15" t="str">
        <f>"115,7895"</f>
        <v>115,7895</v>
      </c>
      <c r="N217" s="12" t="s">
        <v>20</v>
      </c>
    </row>
    <row r="218" spans="1:14" ht="12.75">
      <c r="A218" s="15" t="s">
        <v>75</v>
      </c>
      <c r="B218" s="12" t="s">
        <v>857</v>
      </c>
      <c r="C218" s="12" t="s">
        <v>858</v>
      </c>
      <c r="D218" s="12" t="s">
        <v>859</v>
      </c>
      <c r="E218" s="12" t="str">
        <f>"0,5877"</f>
        <v>0,5877</v>
      </c>
      <c r="F218" s="12" t="s">
        <v>13</v>
      </c>
      <c r="G218" s="12" t="s">
        <v>264</v>
      </c>
      <c r="H218" s="14" t="s">
        <v>117</v>
      </c>
      <c r="I218" s="14" t="s">
        <v>152</v>
      </c>
      <c r="J218" s="13" t="s">
        <v>118</v>
      </c>
      <c r="K218" s="15"/>
      <c r="L218" s="15" t="str">
        <f>"197,5"</f>
        <v>197,5</v>
      </c>
      <c r="M218" s="15" t="str">
        <f>"116,0708"</f>
        <v>116,0708</v>
      </c>
      <c r="N218" s="12" t="s">
        <v>20</v>
      </c>
    </row>
    <row r="219" spans="1:14" ht="12.75">
      <c r="A219" s="15" t="s">
        <v>95</v>
      </c>
      <c r="B219" s="12" t="s">
        <v>860</v>
      </c>
      <c r="C219" s="12" t="s">
        <v>861</v>
      </c>
      <c r="D219" s="12" t="s">
        <v>862</v>
      </c>
      <c r="E219" s="12" t="str">
        <f>"0,5874"</f>
        <v>0,5874</v>
      </c>
      <c r="F219" s="12" t="s">
        <v>13</v>
      </c>
      <c r="G219" s="12" t="s">
        <v>863</v>
      </c>
      <c r="H219" s="14" t="s">
        <v>128</v>
      </c>
      <c r="I219" s="13" t="s">
        <v>122</v>
      </c>
      <c r="J219" s="13" t="s">
        <v>122</v>
      </c>
      <c r="K219" s="15"/>
      <c r="L219" s="15" t="str">
        <f>"195,0"</f>
        <v>195,0</v>
      </c>
      <c r="M219" s="15" t="str">
        <f>"114,5430"</f>
        <v>114,5430</v>
      </c>
      <c r="N219" s="12" t="s">
        <v>20</v>
      </c>
    </row>
    <row r="220" spans="1:14" ht="12.75">
      <c r="A220" s="15" t="s">
        <v>190</v>
      </c>
      <c r="B220" s="12" t="s">
        <v>864</v>
      </c>
      <c r="C220" s="12" t="s">
        <v>865</v>
      </c>
      <c r="D220" s="12" t="s">
        <v>866</v>
      </c>
      <c r="E220" s="12" t="str">
        <f>"0,5737"</f>
        <v>0,5737</v>
      </c>
      <c r="F220" s="12" t="s">
        <v>37</v>
      </c>
      <c r="G220" s="12" t="s">
        <v>867</v>
      </c>
      <c r="H220" s="13" t="s">
        <v>70</v>
      </c>
      <c r="I220" s="14" t="s">
        <v>70</v>
      </c>
      <c r="J220" s="14" t="s">
        <v>138</v>
      </c>
      <c r="K220" s="15"/>
      <c r="L220" s="15" t="str">
        <f>"170,0"</f>
        <v>170,0</v>
      </c>
      <c r="M220" s="15" t="str">
        <f>"97,5290"</f>
        <v>97,5290</v>
      </c>
      <c r="N220" s="12" t="s">
        <v>20</v>
      </c>
    </row>
    <row r="221" spans="1:14" ht="12.75">
      <c r="A221" s="15" t="s">
        <v>336</v>
      </c>
      <c r="B221" s="12" t="s">
        <v>314</v>
      </c>
      <c r="C221" s="12" t="s">
        <v>315</v>
      </c>
      <c r="D221" s="12" t="s">
        <v>316</v>
      </c>
      <c r="E221" s="12" t="str">
        <f>"0,5782"</f>
        <v>0,5782</v>
      </c>
      <c r="F221" s="12" t="s">
        <v>259</v>
      </c>
      <c r="G221" s="12" t="s">
        <v>260</v>
      </c>
      <c r="H221" s="14" t="s">
        <v>45</v>
      </c>
      <c r="I221" s="14" t="s">
        <v>70</v>
      </c>
      <c r="J221" s="13" t="s">
        <v>138</v>
      </c>
      <c r="K221" s="15"/>
      <c r="L221" s="15" t="str">
        <f>"160,0"</f>
        <v>160,0</v>
      </c>
      <c r="M221" s="15" t="str">
        <f>"92,5120"</f>
        <v>92,5120</v>
      </c>
      <c r="N221" s="12" t="s">
        <v>20</v>
      </c>
    </row>
    <row r="222" spans="1:14" ht="12.75">
      <c r="A222" s="15" t="s">
        <v>12</v>
      </c>
      <c r="B222" s="12" t="s">
        <v>868</v>
      </c>
      <c r="C222" s="12" t="s">
        <v>869</v>
      </c>
      <c r="D222" s="12" t="s">
        <v>870</v>
      </c>
      <c r="E222" s="12" t="str">
        <f>"0,5726"</f>
        <v>0,5726</v>
      </c>
      <c r="F222" s="12" t="s">
        <v>13</v>
      </c>
      <c r="G222" s="12" t="s">
        <v>352</v>
      </c>
      <c r="H222" s="13" t="s">
        <v>163</v>
      </c>
      <c r="I222" s="13" t="s">
        <v>163</v>
      </c>
      <c r="J222" s="13" t="s">
        <v>151</v>
      </c>
      <c r="K222" s="15"/>
      <c r="L222" s="15" t="str">
        <f>"0.00"</f>
        <v>0.00</v>
      </c>
      <c r="M222" s="15" t="str">
        <f>"0,0000"</f>
        <v>0,0000</v>
      </c>
      <c r="N222" s="12" t="s">
        <v>871</v>
      </c>
    </row>
    <row r="223" spans="1:14" ht="12.75">
      <c r="A223" s="15" t="s">
        <v>23</v>
      </c>
      <c r="B223" s="12" t="s">
        <v>872</v>
      </c>
      <c r="C223" s="12" t="s">
        <v>873</v>
      </c>
      <c r="D223" s="12" t="s">
        <v>343</v>
      </c>
      <c r="E223" s="12" t="str">
        <f>"0,5728"</f>
        <v>0,5728</v>
      </c>
      <c r="F223" s="12" t="s">
        <v>37</v>
      </c>
      <c r="G223" s="12" t="s">
        <v>576</v>
      </c>
      <c r="H223" s="14" t="s">
        <v>118</v>
      </c>
      <c r="I223" s="14" t="s">
        <v>139</v>
      </c>
      <c r="J223" s="14" t="s">
        <v>136</v>
      </c>
      <c r="K223" s="15"/>
      <c r="L223" s="15" t="str">
        <f>"215,0"</f>
        <v>215,0</v>
      </c>
      <c r="M223" s="15" t="str">
        <f>"124,8761"</f>
        <v>124,8761</v>
      </c>
      <c r="N223" s="12" t="s">
        <v>20</v>
      </c>
    </row>
    <row r="224" spans="1:14" ht="12.75">
      <c r="A224" s="15" t="s">
        <v>47</v>
      </c>
      <c r="B224" s="12" t="s">
        <v>874</v>
      </c>
      <c r="C224" s="12" t="s">
        <v>875</v>
      </c>
      <c r="D224" s="12" t="s">
        <v>876</v>
      </c>
      <c r="E224" s="12" t="str">
        <f>"0,5800"</f>
        <v>0,5800</v>
      </c>
      <c r="F224" s="12" t="s">
        <v>13</v>
      </c>
      <c r="G224" s="12" t="s">
        <v>14</v>
      </c>
      <c r="H224" s="14" t="s">
        <v>35</v>
      </c>
      <c r="I224" s="14" t="s">
        <v>51</v>
      </c>
      <c r="J224" s="13" t="s">
        <v>52</v>
      </c>
      <c r="K224" s="15"/>
      <c r="L224" s="15" t="str">
        <f>"112,5"</f>
        <v>112,5</v>
      </c>
      <c r="M224" s="15" t="str">
        <f>"65,5762"</f>
        <v>65,5762</v>
      </c>
      <c r="N224" s="12" t="s">
        <v>828</v>
      </c>
    </row>
    <row r="225" spans="1:14" ht="12.75">
      <c r="A225" s="15" t="s">
        <v>74</v>
      </c>
      <c r="B225" s="12" t="s">
        <v>877</v>
      </c>
      <c r="C225" s="12" t="s">
        <v>878</v>
      </c>
      <c r="D225" s="12" t="s">
        <v>879</v>
      </c>
      <c r="E225" s="12" t="str">
        <f>"0,5751"</f>
        <v>0,5751</v>
      </c>
      <c r="F225" s="12" t="s">
        <v>13</v>
      </c>
      <c r="G225" s="12" t="s">
        <v>14</v>
      </c>
      <c r="H225" s="13" t="s">
        <v>36</v>
      </c>
      <c r="I225" s="14" t="s">
        <v>36</v>
      </c>
      <c r="J225" s="13" t="s">
        <v>91</v>
      </c>
      <c r="K225" s="15"/>
      <c r="L225" s="15" t="str">
        <f>"110,0"</f>
        <v>110,0</v>
      </c>
      <c r="M225" s="15" t="str">
        <f>"69,3341"</f>
        <v>69,3341</v>
      </c>
      <c r="N225" s="12" t="s">
        <v>880</v>
      </c>
    </row>
    <row r="226" spans="1:14" ht="12.75">
      <c r="A226" s="15" t="s">
        <v>23</v>
      </c>
      <c r="B226" s="12" t="s">
        <v>881</v>
      </c>
      <c r="C226" s="12" t="s">
        <v>882</v>
      </c>
      <c r="D226" s="12" t="s">
        <v>883</v>
      </c>
      <c r="E226" s="12" t="str">
        <f>"0,5698"</f>
        <v>0,5698</v>
      </c>
      <c r="F226" s="12" t="s">
        <v>13</v>
      </c>
      <c r="G226" s="12" t="s">
        <v>14</v>
      </c>
      <c r="H226" s="14" t="s">
        <v>71</v>
      </c>
      <c r="I226" s="14" t="s">
        <v>138</v>
      </c>
      <c r="J226" s="14" t="s">
        <v>195</v>
      </c>
      <c r="K226" s="15"/>
      <c r="L226" s="15" t="str">
        <f>"172,5"</f>
        <v>172,5</v>
      </c>
      <c r="M226" s="15" t="str">
        <f>"120,7007"</f>
        <v>120,7007</v>
      </c>
      <c r="N226" s="12" t="s">
        <v>20</v>
      </c>
    </row>
    <row r="227" spans="1:14" ht="12.75">
      <c r="A227" s="19" t="s">
        <v>47</v>
      </c>
      <c r="B227" s="16" t="s">
        <v>884</v>
      </c>
      <c r="C227" s="16" t="s">
        <v>885</v>
      </c>
      <c r="D227" s="16" t="s">
        <v>886</v>
      </c>
      <c r="E227" s="16" t="str">
        <f>"0,5816"</f>
        <v>0,5816</v>
      </c>
      <c r="F227" s="16" t="s">
        <v>13</v>
      </c>
      <c r="G227" s="16" t="s">
        <v>887</v>
      </c>
      <c r="H227" s="17" t="s">
        <v>45</v>
      </c>
      <c r="I227" s="17" t="s">
        <v>71</v>
      </c>
      <c r="J227" s="18" t="s">
        <v>138</v>
      </c>
      <c r="K227" s="19"/>
      <c r="L227" s="19" t="str">
        <f>"165,0"</f>
        <v>165,0</v>
      </c>
      <c r="M227" s="19" t="str">
        <f>"113,9093"</f>
        <v>113,9093</v>
      </c>
      <c r="N227" s="16" t="s">
        <v>888</v>
      </c>
    </row>
    <row r="228" ht="12.75">
      <c r="B228" s="6" t="s">
        <v>21</v>
      </c>
    </row>
    <row r="229" spans="1:13" ht="15">
      <c r="A229" s="51" t="s">
        <v>201</v>
      </c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</row>
    <row r="230" spans="1:14" ht="12.75">
      <c r="A230" s="11" t="s">
        <v>23</v>
      </c>
      <c r="B230" s="8" t="s">
        <v>889</v>
      </c>
      <c r="C230" s="8" t="s">
        <v>890</v>
      </c>
      <c r="D230" s="8" t="s">
        <v>891</v>
      </c>
      <c r="E230" s="8" t="str">
        <f>"0,5620"</f>
        <v>0,5620</v>
      </c>
      <c r="F230" s="8" t="s">
        <v>13</v>
      </c>
      <c r="G230" s="8" t="s">
        <v>892</v>
      </c>
      <c r="H230" s="9" t="s">
        <v>140</v>
      </c>
      <c r="I230" s="9" t="s">
        <v>144</v>
      </c>
      <c r="J230" s="10" t="s">
        <v>141</v>
      </c>
      <c r="K230" s="11"/>
      <c r="L230" s="11" t="str">
        <f>"237,5"</f>
        <v>237,5</v>
      </c>
      <c r="M230" s="11" t="str">
        <f>"133,4750"</f>
        <v>133,4750</v>
      </c>
      <c r="N230" s="8" t="s">
        <v>20</v>
      </c>
    </row>
    <row r="231" spans="1:14" ht="12.75">
      <c r="A231" s="15" t="s">
        <v>47</v>
      </c>
      <c r="B231" s="12" t="s">
        <v>202</v>
      </c>
      <c r="C231" s="12" t="s">
        <v>203</v>
      </c>
      <c r="D231" s="12" t="s">
        <v>204</v>
      </c>
      <c r="E231" s="12" t="str">
        <f>"0,5603"</f>
        <v>0,5603</v>
      </c>
      <c r="F231" s="12" t="s">
        <v>13</v>
      </c>
      <c r="G231" s="12" t="s">
        <v>304</v>
      </c>
      <c r="H231" s="14" t="s">
        <v>71</v>
      </c>
      <c r="I231" s="14" t="s">
        <v>163</v>
      </c>
      <c r="J231" s="14" t="s">
        <v>151</v>
      </c>
      <c r="K231" s="15"/>
      <c r="L231" s="15" t="str">
        <f>"192,5"</f>
        <v>192,5</v>
      </c>
      <c r="M231" s="15" t="str">
        <f>"107,8577"</f>
        <v>107,8577</v>
      </c>
      <c r="N231" s="12" t="s">
        <v>205</v>
      </c>
    </row>
    <row r="232" spans="1:14" ht="12.75">
      <c r="A232" s="15" t="s">
        <v>23</v>
      </c>
      <c r="B232" s="12" t="s">
        <v>893</v>
      </c>
      <c r="C232" s="12" t="s">
        <v>894</v>
      </c>
      <c r="D232" s="12" t="s">
        <v>895</v>
      </c>
      <c r="E232" s="12" t="str">
        <f>"0,5655"</f>
        <v>0,5655</v>
      </c>
      <c r="F232" s="12" t="s">
        <v>37</v>
      </c>
      <c r="G232" s="12" t="s">
        <v>896</v>
      </c>
      <c r="H232" s="14" t="s">
        <v>119</v>
      </c>
      <c r="I232" s="14" t="s">
        <v>122</v>
      </c>
      <c r="J232" s="14" t="s">
        <v>142</v>
      </c>
      <c r="K232" s="15"/>
      <c r="L232" s="15" t="str">
        <f>"207,5"</f>
        <v>207,5</v>
      </c>
      <c r="M232" s="15" t="str">
        <f>"124,3817"</f>
        <v>124,3817</v>
      </c>
      <c r="N232" s="12" t="s">
        <v>897</v>
      </c>
    </row>
    <row r="233" spans="1:14" ht="12.75">
      <c r="A233" s="15" t="s">
        <v>12</v>
      </c>
      <c r="B233" s="12" t="s">
        <v>898</v>
      </c>
      <c r="C233" s="12" t="s">
        <v>899</v>
      </c>
      <c r="D233" s="12" t="s">
        <v>900</v>
      </c>
      <c r="E233" s="12" t="str">
        <f>"0,5643"</f>
        <v>0,5643</v>
      </c>
      <c r="F233" s="12" t="s">
        <v>13</v>
      </c>
      <c r="G233" s="12" t="s">
        <v>551</v>
      </c>
      <c r="H233" s="13" t="s">
        <v>118</v>
      </c>
      <c r="I233" s="13" t="s">
        <v>118</v>
      </c>
      <c r="J233" s="13" t="s">
        <v>118</v>
      </c>
      <c r="K233" s="15"/>
      <c r="L233" s="15" t="str">
        <f>"0.00"</f>
        <v>0.00</v>
      </c>
      <c r="M233" s="15" t="str">
        <f>"0,0000"</f>
        <v>0,0000</v>
      </c>
      <c r="N233" s="12" t="s">
        <v>901</v>
      </c>
    </row>
    <row r="234" spans="1:14" ht="12.75">
      <c r="A234" s="19" t="s">
        <v>23</v>
      </c>
      <c r="B234" s="16" t="s">
        <v>902</v>
      </c>
      <c r="C234" s="16" t="s">
        <v>903</v>
      </c>
      <c r="D234" s="16" t="s">
        <v>904</v>
      </c>
      <c r="E234" s="16" t="str">
        <f>"0,5612"</f>
        <v>0,5612</v>
      </c>
      <c r="F234" s="16" t="s">
        <v>13</v>
      </c>
      <c r="G234" s="16" t="s">
        <v>905</v>
      </c>
      <c r="H234" s="17" t="s">
        <v>88</v>
      </c>
      <c r="I234" s="17" t="s">
        <v>127</v>
      </c>
      <c r="J234" s="17" t="s">
        <v>116</v>
      </c>
      <c r="K234" s="19"/>
      <c r="L234" s="19" t="str">
        <f>"142,5"</f>
        <v>142,5</v>
      </c>
      <c r="M234" s="19" t="str">
        <f>"105,7217"</f>
        <v>105,7217</v>
      </c>
      <c r="N234" s="16" t="s">
        <v>20</v>
      </c>
    </row>
    <row r="235" ht="12.75">
      <c r="B235" s="6" t="s">
        <v>21</v>
      </c>
    </row>
    <row r="236" spans="1:13" ht="15">
      <c r="A236" s="51" t="s">
        <v>206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</row>
    <row r="237" spans="1:14" ht="12.75">
      <c r="A237" s="11" t="s">
        <v>23</v>
      </c>
      <c r="B237" s="8" t="s">
        <v>906</v>
      </c>
      <c r="C237" s="8" t="s">
        <v>907</v>
      </c>
      <c r="D237" s="8" t="s">
        <v>908</v>
      </c>
      <c r="E237" s="8" t="str">
        <f>"0,5516"</f>
        <v>0,5516</v>
      </c>
      <c r="F237" s="8" t="s">
        <v>37</v>
      </c>
      <c r="G237" s="8" t="s">
        <v>909</v>
      </c>
      <c r="H237" s="9" t="s">
        <v>140</v>
      </c>
      <c r="I237" s="9" t="s">
        <v>141</v>
      </c>
      <c r="J237" s="10" t="s">
        <v>232</v>
      </c>
      <c r="K237" s="11"/>
      <c r="L237" s="11" t="str">
        <f>"240,0"</f>
        <v>240,0</v>
      </c>
      <c r="M237" s="11" t="str">
        <f>"132,3840"</f>
        <v>132,3840</v>
      </c>
      <c r="N237" s="8" t="s">
        <v>20</v>
      </c>
    </row>
    <row r="238" spans="1:14" ht="12.75">
      <c r="A238" s="15" t="s">
        <v>47</v>
      </c>
      <c r="B238" s="12" t="s">
        <v>207</v>
      </c>
      <c r="C238" s="12" t="s">
        <v>208</v>
      </c>
      <c r="D238" s="12" t="s">
        <v>209</v>
      </c>
      <c r="E238" s="12" t="str">
        <f>"0,5587"</f>
        <v>0,5587</v>
      </c>
      <c r="F238" s="12" t="s">
        <v>13</v>
      </c>
      <c r="G238" s="12" t="s">
        <v>63</v>
      </c>
      <c r="H238" s="13" t="s">
        <v>45</v>
      </c>
      <c r="I238" s="14" t="s">
        <v>45</v>
      </c>
      <c r="J238" s="13" t="s">
        <v>70</v>
      </c>
      <c r="K238" s="15"/>
      <c r="L238" s="15" t="str">
        <f>"150,0"</f>
        <v>150,0</v>
      </c>
      <c r="M238" s="15" t="str">
        <f>"83,8050"</f>
        <v>83,8050</v>
      </c>
      <c r="N238" s="12" t="s">
        <v>20</v>
      </c>
    </row>
    <row r="239" spans="1:14" ht="12.75">
      <c r="A239" s="19" t="s">
        <v>23</v>
      </c>
      <c r="B239" s="16" t="s">
        <v>906</v>
      </c>
      <c r="C239" s="16" t="s">
        <v>910</v>
      </c>
      <c r="D239" s="16" t="s">
        <v>908</v>
      </c>
      <c r="E239" s="16" t="str">
        <f>"0,5516"</f>
        <v>0,5516</v>
      </c>
      <c r="F239" s="16" t="s">
        <v>37</v>
      </c>
      <c r="G239" s="16" t="s">
        <v>909</v>
      </c>
      <c r="H239" s="17" t="s">
        <v>140</v>
      </c>
      <c r="I239" s="17" t="s">
        <v>141</v>
      </c>
      <c r="J239" s="18" t="s">
        <v>232</v>
      </c>
      <c r="K239" s="19"/>
      <c r="L239" s="19" t="str">
        <f>"240,0"</f>
        <v>240,0</v>
      </c>
      <c r="M239" s="19" t="str">
        <f>"142,7099"</f>
        <v>142,7099</v>
      </c>
      <c r="N239" s="16" t="s">
        <v>20</v>
      </c>
    </row>
    <row r="240" ht="12.75">
      <c r="B240" s="6" t="s">
        <v>21</v>
      </c>
    </row>
    <row r="241" spans="2:6" ht="15">
      <c r="B241" s="6" t="s">
        <v>21</v>
      </c>
      <c r="F241" s="24"/>
    </row>
    <row r="242" ht="12.75">
      <c r="B242" s="6" t="s">
        <v>21</v>
      </c>
    </row>
    <row r="243" spans="2:7" ht="18">
      <c r="B243" s="25" t="s">
        <v>210</v>
      </c>
      <c r="C243" s="25"/>
      <c r="G243" s="3"/>
    </row>
    <row r="244" spans="2:7" ht="15">
      <c r="B244" s="26" t="s">
        <v>211</v>
      </c>
      <c r="C244" s="26"/>
      <c r="G244" s="3"/>
    </row>
    <row r="245" spans="2:7" ht="14.25">
      <c r="B245" s="27"/>
      <c r="C245" s="27" t="s">
        <v>224</v>
      </c>
      <c r="G245" s="3"/>
    </row>
    <row r="246" spans="2:7" ht="15">
      <c r="B246" s="5" t="s">
        <v>213</v>
      </c>
      <c r="C246" s="5" t="s">
        <v>214</v>
      </c>
      <c r="D246" s="5" t="s">
        <v>215</v>
      </c>
      <c r="E246" s="5" t="s">
        <v>381</v>
      </c>
      <c r="F246" s="5" t="s">
        <v>216</v>
      </c>
      <c r="G246" s="3"/>
    </row>
    <row r="247" spans="2:7" ht="12.75">
      <c r="B247" s="6" t="s">
        <v>401</v>
      </c>
      <c r="C247" s="6" t="s">
        <v>225</v>
      </c>
      <c r="D247" s="7" t="s">
        <v>317</v>
      </c>
      <c r="E247" s="7" t="s">
        <v>28</v>
      </c>
      <c r="F247" s="7" t="s">
        <v>911</v>
      </c>
      <c r="G247" s="3"/>
    </row>
    <row r="248" spans="2:7" ht="12.75">
      <c r="B248" s="6" t="s">
        <v>439</v>
      </c>
      <c r="C248" s="6" t="s">
        <v>225</v>
      </c>
      <c r="D248" s="7" t="s">
        <v>217</v>
      </c>
      <c r="E248" s="7" t="s">
        <v>59</v>
      </c>
      <c r="F248" s="7" t="s">
        <v>912</v>
      </c>
      <c r="G248" s="3"/>
    </row>
    <row r="249" spans="2:7" ht="12.75">
      <c r="B249" s="6" t="s">
        <v>434</v>
      </c>
      <c r="C249" s="6" t="s">
        <v>913</v>
      </c>
      <c r="D249" s="7" t="s">
        <v>217</v>
      </c>
      <c r="E249" s="7" t="s">
        <v>86</v>
      </c>
      <c r="F249" s="7" t="s">
        <v>914</v>
      </c>
      <c r="G249" s="3"/>
    </row>
    <row r="250" ht="12.75">
      <c r="G250" s="3"/>
    </row>
    <row r="251" spans="2:7" ht="14.25">
      <c r="B251" s="27"/>
      <c r="C251" s="27" t="s">
        <v>212</v>
      </c>
      <c r="G251" s="3"/>
    </row>
    <row r="252" spans="2:7" ht="15">
      <c r="B252" s="5" t="s">
        <v>213</v>
      </c>
      <c r="C252" s="5" t="s">
        <v>214</v>
      </c>
      <c r="D252" s="5" t="s">
        <v>215</v>
      </c>
      <c r="E252" s="5" t="s">
        <v>381</v>
      </c>
      <c r="F252" s="5" t="s">
        <v>216</v>
      </c>
      <c r="G252" s="3"/>
    </row>
    <row r="253" spans="2:7" ht="12.75">
      <c r="B253" s="6" t="s">
        <v>401</v>
      </c>
      <c r="C253" s="6" t="s">
        <v>212</v>
      </c>
      <c r="D253" s="7" t="s">
        <v>317</v>
      </c>
      <c r="E253" s="7" t="s">
        <v>28</v>
      </c>
      <c r="F253" s="7" t="s">
        <v>911</v>
      </c>
      <c r="G253" s="3"/>
    </row>
    <row r="254" spans="1:7" ht="12.75">
      <c r="A254" s="50" t="s">
        <v>134</v>
      </c>
      <c r="B254" s="6" t="s">
        <v>443</v>
      </c>
      <c r="C254" s="6" t="s">
        <v>212</v>
      </c>
      <c r="D254" s="7" t="s">
        <v>217</v>
      </c>
      <c r="E254" s="7" t="s">
        <v>28</v>
      </c>
      <c r="F254" s="7" t="s">
        <v>915</v>
      </c>
      <c r="G254" s="3"/>
    </row>
    <row r="255" spans="2:7" ht="12.75">
      <c r="B255" s="6" t="s">
        <v>253</v>
      </c>
      <c r="C255" s="6" t="s">
        <v>212</v>
      </c>
      <c r="D255" s="7" t="s">
        <v>218</v>
      </c>
      <c r="E255" s="7" t="s">
        <v>86</v>
      </c>
      <c r="F255" s="7" t="s">
        <v>916</v>
      </c>
      <c r="G255" s="3"/>
    </row>
    <row r="256" spans="2:7" ht="12.75">
      <c r="B256" s="6" t="s">
        <v>421</v>
      </c>
      <c r="C256" s="6" t="s">
        <v>212</v>
      </c>
      <c r="D256" s="7" t="s">
        <v>222</v>
      </c>
      <c r="E256" s="7" t="s">
        <v>24</v>
      </c>
      <c r="F256" s="7" t="s">
        <v>917</v>
      </c>
      <c r="G256" s="3"/>
    </row>
    <row r="257" ht="12.75">
      <c r="G257" s="3"/>
    </row>
    <row r="258" spans="2:7" ht="15">
      <c r="B258" s="26" t="s">
        <v>223</v>
      </c>
      <c r="C258" s="26"/>
      <c r="G258" s="3"/>
    </row>
    <row r="259" spans="2:7" ht="14.25">
      <c r="B259" s="27"/>
      <c r="C259" s="27" t="s">
        <v>224</v>
      </c>
      <c r="G259" s="3"/>
    </row>
    <row r="260" spans="2:7" ht="15">
      <c r="B260" s="5" t="s">
        <v>213</v>
      </c>
      <c r="C260" s="5" t="s">
        <v>214</v>
      </c>
      <c r="D260" s="5" t="s">
        <v>215</v>
      </c>
      <c r="E260" s="5" t="s">
        <v>381</v>
      </c>
      <c r="F260" s="5" t="s">
        <v>216</v>
      </c>
      <c r="G260" s="3"/>
    </row>
    <row r="261" spans="2:7" ht="12.75">
      <c r="B261" s="6" t="s">
        <v>523</v>
      </c>
      <c r="C261" s="6" t="s">
        <v>225</v>
      </c>
      <c r="D261" s="7" t="s">
        <v>220</v>
      </c>
      <c r="E261" s="7" t="s">
        <v>45</v>
      </c>
      <c r="F261" s="7" t="s">
        <v>918</v>
      </c>
      <c r="G261" s="3"/>
    </row>
    <row r="262" spans="2:7" ht="12.75">
      <c r="B262" s="6" t="s">
        <v>736</v>
      </c>
      <c r="C262" s="6" t="s">
        <v>225</v>
      </c>
      <c r="D262" s="7" t="s">
        <v>226</v>
      </c>
      <c r="E262" s="7" t="s">
        <v>138</v>
      </c>
      <c r="F262" s="7" t="s">
        <v>919</v>
      </c>
      <c r="G262" s="3"/>
    </row>
    <row r="263" spans="2:7" ht="12.75">
      <c r="B263" s="6" t="s">
        <v>155</v>
      </c>
      <c r="C263" s="6" t="s">
        <v>225</v>
      </c>
      <c r="D263" s="7" t="s">
        <v>227</v>
      </c>
      <c r="E263" s="7" t="s">
        <v>44</v>
      </c>
      <c r="F263" s="7" t="s">
        <v>920</v>
      </c>
      <c r="G263" s="3"/>
    </row>
    <row r="264" ht="12.75">
      <c r="G264" s="3"/>
    </row>
    <row r="265" spans="2:7" ht="14.25">
      <c r="B265" s="27"/>
      <c r="C265" s="27" t="s">
        <v>318</v>
      </c>
      <c r="G265" s="3"/>
    </row>
    <row r="266" spans="2:7" ht="15">
      <c r="B266" s="5" t="s">
        <v>213</v>
      </c>
      <c r="C266" s="5" t="s">
        <v>214</v>
      </c>
      <c r="D266" s="5" t="s">
        <v>215</v>
      </c>
      <c r="E266" s="5" t="s">
        <v>381</v>
      </c>
      <c r="F266" s="5" t="s">
        <v>216</v>
      </c>
      <c r="G266" s="3"/>
    </row>
    <row r="267" spans="2:7" ht="12.75">
      <c r="B267" s="6" t="s">
        <v>471</v>
      </c>
      <c r="C267" s="6" t="s">
        <v>318</v>
      </c>
      <c r="D267" s="7" t="s">
        <v>222</v>
      </c>
      <c r="E267" s="7" t="s">
        <v>101</v>
      </c>
      <c r="F267" s="7" t="s">
        <v>921</v>
      </c>
      <c r="G267" s="3"/>
    </row>
    <row r="268" spans="2:7" ht="12.75">
      <c r="B268" s="6" t="s">
        <v>739</v>
      </c>
      <c r="C268" s="6" t="s">
        <v>318</v>
      </c>
      <c r="D268" s="7" t="s">
        <v>226</v>
      </c>
      <c r="E268" s="7" t="s">
        <v>147</v>
      </c>
      <c r="F268" s="7" t="s">
        <v>922</v>
      </c>
      <c r="G268" s="3"/>
    </row>
    <row r="269" spans="2:7" ht="12.75">
      <c r="B269" s="6" t="s">
        <v>636</v>
      </c>
      <c r="C269" s="6" t="s">
        <v>318</v>
      </c>
      <c r="D269" s="7" t="s">
        <v>227</v>
      </c>
      <c r="E269" s="7" t="s">
        <v>133</v>
      </c>
      <c r="F269" s="7" t="s">
        <v>923</v>
      </c>
      <c r="G269" s="3"/>
    </row>
    <row r="270" ht="12.75">
      <c r="G270" s="3"/>
    </row>
    <row r="271" spans="2:7" ht="14.25">
      <c r="B271" s="27"/>
      <c r="C271" s="27" t="s">
        <v>212</v>
      </c>
      <c r="G271" s="3"/>
    </row>
    <row r="272" spans="2:7" ht="15">
      <c r="B272" s="5" t="s">
        <v>213</v>
      </c>
      <c r="C272" s="5" t="s">
        <v>214</v>
      </c>
      <c r="D272" s="5" t="s">
        <v>215</v>
      </c>
      <c r="E272" s="5" t="s">
        <v>381</v>
      </c>
      <c r="F272" s="5" t="s">
        <v>216</v>
      </c>
      <c r="G272" s="3"/>
    </row>
    <row r="273" spans="2:7" ht="12.75">
      <c r="B273" s="6" t="s">
        <v>889</v>
      </c>
      <c r="C273" s="6" t="s">
        <v>212</v>
      </c>
      <c r="D273" s="7" t="s">
        <v>351</v>
      </c>
      <c r="E273" s="7" t="s">
        <v>144</v>
      </c>
      <c r="F273" s="7" t="s">
        <v>924</v>
      </c>
      <c r="G273" s="3"/>
    </row>
    <row r="274" spans="2:7" ht="12.75">
      <c r="B274" s="6" t="s">
        <v>906</v>
      </c>
      <c r="C274" s="6" t="s">
        <v>212</v>
      </c>
      <c r="D274" s="7" t="s">
        <v>925</v>
      </c>
      <c r="E274" s="7" t="s">
        <v>141</v>
      </c>
      <c r="F274" s="7" t="s">
        <v>926</v>
      </c>
      <c r="G274" s="3"/>
    </row>
    <row r="275" spans="2:7" ht="12.75">
      <c r="B275" s="6" t="s">
        <v>813</v>
      </c>
      <c r="C275" s="6" t="s">
        <v>212</v>
      </c>
      <c r="D275" s="7" t="s">
        <v>229</v>
      </c>
      <c r="E275" s="7" t="s">
        <v>136</v>
      </c>
      <c r="F275" s="7" t="s">
        <v>927</v>
      </c>
      <c r="G275" s="3"/>
    </row>
    <row r="276" ht="12.75">
      <c r="G276" s="3"/>
    </row>
    <row r="277" spans="2:7" ht="14.25">
      <c r="B277" s="27"/>
      <c r="C277" s="27" t="s">
        <v>219</v>
      </c>
      <c r="G277" s="3"/>
    </row>
    <row r="278" spans="2:7" ht="15">
      <c r="B278" s="5" t="s">
        <v>213</v>
      </c>
      <c r="C278" s="5" t="s">
        <v>214</v>
      </c>
      <c r="D278" s="5" t="s">
        <v>215</v>
      </c>
      <c r="E278" s="5" t="s">
        <v>381</v>
      </c>
      <c r="F278" s="5" t="s">
        <v>216</v>
      </c>
      <c r="G278" s="3"/>
    </row>
    <row r="279" spans="2:7" ht="12.75">
      <c r="B279" s="6" t="s">
        <v>811</v>
      </c>
      <c r="C279" s="6" t="s">
        <v>230</v>
      </c>
      <c r="D279" s="7" t="s">
        <v>226</v>
      </c>
      <c r="E279" s="7" t="s">
        <v>101</v>
      </c>
      <c r="F279" s="7" t="s">
        <v>928</v>
      </c>
      <c r="G279" s="3"/>
    </row>
    <row r="280" spans="2:7" ht="12.75">
      <c r="B280" s="6" t="s">
        <v>906</v>
      </c>
      <c r="C280" s="6" t="s">
        <v>221</v>
      </c>
      <c r="D280" s="7" t="s">
        <v>925</v>
      </c>
      <c r="E280" s="7" t="s">
        <v>141</v>
      </c>
      <c r="F280" s="7" t="s">
        <v>929</v>
      </c>
      <c r="G280" s="3"/>
    </row>
    <row r="281" spans="2:7" ht="12.75">
      <c r="B281" s="6" t="s">
        <v>168</v>
      </c>
      <c r="C281" s="6" t="s">
        <v>230</v>
      </c>
      <c r="D281" s="7" t="s">
        <v>227</v>
      </c>
      <c r="E281" s="7" t="s">
        <v>73</v>
      </c>
      <c r="F281" s="7" t="s">
        <v>930</v>
      </c>
      <c r="G281" s="3"/>
    </row>
    <row r="282" ht="12.75">
      <c r="B282" s="6" t="s">
        <v>21</v>
      </c>
    </row>
  </sheetData>
  <sheetProtection/>
  <mergeCells count="32"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A59:M59"/>
    <mergeCell ref="A64:M64"/>
    <mergeCell ref="A69:M69"/>
    <mergeCell ref="A86:M86"/>
    <mergeCell ref="N3:N4"/>
    <mergeCell ref="A5:M5"/>
    <mergeCell ref="A8:M8"/>
    <mergeCell ref="A14:M14"/>
    <mergeCell ref="M3:M4"/>
    <mergeCell ref="A20:M20"/>
    <mergeCell ref="A27:M27"/>
    <mergeCell ref="A37:M37"/>
    <mergeCell ref="A45:M45"/>
    <mergeCell ref="A52:M52"/>
    <mergeCell ref="A55:M55"/>
    <mergeCell ref="A170:M170"/>
    <mergeCell ref="A200:M200"/>
    <mergeCell ref="A212:M212"/>
    <mergeCell ref="A229:M229"/>
    <mergeCell ref="A236:M236"/>
    <mergeCell ref="A115:M115"/>
    <mergeCell ref="A134:M1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40">
      <selection activeCell="G9" sqref="G9"/>
    </sheetView>
  </sheetViews>
  <sheetFormatPr defaultColWidth="9.125" defaultRowHeight="12.75"/>
  <cols>
    <col min="1" max="1" width="6.75390625" style="7" bestFit="1" customWidth="1"/>
    <col min="2" max="2" width="22.125" style="6" bestFit="1" customWidth="1"/>
    <col min="3" max="3" width="28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18.375" style="6" bestFit="1" customWidth="1"/>
    <col min="8" max="8" width="13.75390625" style="7" customWidth="1"/>
    <col min="9" max="9" width="13.75390625" style="28" customWidth="1"/>
    <col min="10" max="10" width="11.125" style="7" customWidth="1"/>
    <col min="11" max="11" width="9.25390625" style="7" bestFit="1" customWidth="1"/>
    <col min="12" max="12" width="27.125" style="6" bestFit="1" customWidth="1"/>
    <col min="13" max="16384" width="9.125" style="3" customWidth="1"/>
  </cols>
  <sheetData>
    <row r="1" spans="1:12" s="2" customFormat="1" ht="28.5" customHeight="1">
      <c r="A1" s="55" t="s">
        <v>987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2.75" customHeight="1">
      <c r="A3" s="62" t="s">
        <v>0</v>
      </c>
      <c r="B3" s="67" t="s">
        <v>1</v>
      </c>
      <c r="C3" s="64" t="s">
        <v>2</v>
      </c>
      <c r="D3" s="64" t="s">
        <v>3</v>
      </c>
      <c r="E3" s="66" t="s">
        <v>971</v>
      </c>
      <c r="F3" s="66" t="s">
        <v>5</v>
      </c>
      <c r="G3" s="66" t="s">
        <v>6</v>
      </c>
      <c r="H3" s="66" t="s">
        <v>988</v>
      </c>
      <c r="I3" s="66"/>
      <c r="J3" s="66" t="s">
        <v>989</v>
      </c>
      <c r="K3" s="66" t="s">
        <v>8</v>
      </c>
      <c r="L3" s="52" t="s">
        <v>9</v>
      </c>
    </row>
    <row r="4" spans="1:12" s="1" customFormat="1" ht="21" customHeight="1" thickBot="1">
      <c r="A4" s="63"/>
      <c r="B4" s="68"/>
      <c r="C4" s="65"/>
      <c r="D4" s="65"/>
      <c r="E4" s="65"/>
      <c r="F4" s="65"/>
      <c r="G4" s="65"/>
      <c r="H4" s="4" t="s">
        <v>990</v>
      </c>
      <c r="I4" s="30" t="s">
        <v>991</v>
      </c>
      <c r="J4" s="65"/>
      <c r="K4" s="65"/>
      <c r="L4" s="53"/>
    </row>
    <row r="5" spans="1:11" ht="15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2.75">
      <c r="A6" s="23" t="s">
        <v>23</v>
      </c>
      <c r="B6" s="20" t="s">
        <v>253</v>
      </c>
      <c r="C6" s="20" t="s">
        <v>254</v>
      </c>
      <c r="D6" s="20" t="s">
        <v>31</v>
      </c>
      <c r="E6" s="20" t="str">
        <f>"1,1195"</f>
        <v>1,1195</v>
      </c>
      <c r="F6" s="20" t="s">
        <v>239</v>
      </c>
      <c r="G6" s="20" t="s">
        <v>84</v>
      </c>
      <c r="H6" s="23" t="s">
        <v>41</v>
      </c>
      <c r="I6" s="33">
        <v>21</v>
      </c>
      <c r="J6" s="23" t="str">
        <f>"1102,5"</f>
        <v>1102,5</v>
      </c>
      <c r="K6" s="23" t="str">
        <f>"1234,2488"</f>
        <v>1234,2488</v>
      </c>
      <c r="L6" s="20" t="s">
        <v>255</v>
      </c>
    </row>
    <row r="7" ht="12.75">
      <c r="B7" s="6" t="s">
        <v>21</v>
      </c>
    </row>
    <row r="8" spans="1:11" ht="15">
      <c r="A8" s="51" t="s">
        <v>60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ht="12.75">
      <c r="A9" s="23" t="s">
        <v>23</v>
      </c>
      <c r="B9" s="20" t="s">
        <v>480</v>
      </c>
      <c r="C9" s="20" t="s">
        <v>992</v>
      </c>
      <c r="D9" s="20" t="s">
        <v>473</v>
      </c>
      <c r="E9" s="20" t="str">
        <f>"0,8342"</f>
        <v>0,8342</v>
      </c>
      <c r="F9" s="20" t="s">
        <v>13</v>
      </c>
      <c r="G9" s="20" t="s">
        <v>79</v>
      </c>
      <c r="H9" s="23" t="s">
        <v>50</v>
      </c>
      <c r="I9" s="33">
        <v>31</v>
      </c>
      <c r="J9" s="23" t="str">
        <f>"1860,0"</f>
        <v>1860,0</v>
      </c>
      <c r="K9" s="23" t="str">
        <f>"1618,3314"</f>
        <v>1618,3314</v>
      </c>
      <c r="L9" s="20" t="s">
        <v>20</v>
      </c>
    </row>
    <row r="10" ht="12.75">
      <c r="B10" s="6" t="s">
        <v>21</v>
      </c>
    </row>
    <row r="11" spans="1:11" ht="15">
      <c r="A11" s="51" t="s">
        <v>87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2" ht="12.75">
      <c r="A12" s="11" t="s">
        <v>23</v>
      </c>
      <c r="B12" s="8" t="s">
        <v>993</v>
      </c>
      <c r="C12" s="8" t="s">
        <v>994</v>
      </c>
      <c r="D12" s="8" t="s">
        <v>114</v>
      </c>
      <c r="E12" s="8" t="str">
        <f>"0,7484"</f>
        <v>0,7484</v>
      </c>
      <c r="F12" s="8" t="s">
        <v>357</v>
      </c>
      <c r="G12" s="8" t="s">
        <v>995</v>
      </c>
      <c r="H12" s="11" t="s">
        <v>85</v>
      </c>
      <c r="I12" s="32">
        <v>40</v>
      </c>
      <c r="J12" s="11" t="str">
        <f>"2700,0"</f>
        <v>2700,0</v>
      </c>
      <c r="K12" s="11" t="str">
        <f>"2020,6799"</f>
        <v>2020,6799</v>
      </c>
      <c r="L12" s="8" t="s">
        <v>20</v>
      </c>
    </row>
    <row r="13" spans="1:12" ht="12.75">
      <c r="A13" s="15" t="s">
        <v>23</v>
      </c>
      <c r="B13" s="12" t="s">
        <v>495</v>
      </c>
      <c r="C13" s="12" t="s">
        <v>496</v>
      </c>
      <c r="D13" s="12" t="s">
        <v>996</v>
      </c>
      <c r="E13" s="12" t="str">
        <f>"0,7537"</f>
        <v>0,7537</v>
      </c>
      <c r="F13" s="12" t="s">
        <v>13</v>
      </c>
      <c r="G13" s="12" t="s">
        <v>514</v>
      </c>
      <c r="H13" s="15" t="s">
        <v>85</v>
      </c>
      <c r="I13" s="29">
        <v>44</v>
      </c>
      <c r="J13" s="15" t="str">
        <f>"2970,0"</f>
        <v>2970,0</v>
      </c>
      <c r="K13" s="15" t="str">
        <f>"2238,3405"</f>
        <v>2238,3405</v>
      </c>
      <c r="L13" s="12" t="s">
        <v>20</v>
      </c>
    </row>
    <row r="14" spans="1:12" ht="12.75">
      <c r="A14" s="15" t="s">
        <v>47</v>
      </c>
      <c r="B14" s="12" t="s">
        <v>997</v>
      </c>
      <c r="C14" s="12" t="s">
        <v>998</v>
      </c>
      <c r="D14" s="12" t="s">
        <v>320</v>
      </c>
      <c r="E14" s="12" t="str">
        <f>"0,7930"</f>
        <v>0,7930</v>
      </c>
      <c r="F14" s="12" t="s">
        <v>13</v>
      </c>
      <c r="G14" s="12" t="s">
        <v>999</v>
      </c>
      <c r="H14" s="15" t="s">
        <v>64</v>
      </c>
      <c r="I14" s="29">
        <v>42</v>
      </c>
      <c r="J14" s="15" t="str">
        <f>"2730,0"</f>
        <v>2730,0</v>
      </c>
      <c r="K14" s="15" t="str">
        <f>"2165,0265"</f>
        <v>2165,0265</v>
      </c>
      <c r="L14" s="12" t="s">
        <v>1000</v>
      </c>
    </row>
    <row r="15" spans="1:12" ht="12.75">
      <c r="A15" s="15" t="s">
        <v>74</v>
      </c>
      <c r="B15" s="12" t="s">
        <v>515</v>
      </c>
      <c r="C15" s="12" t="s">
        <v>1001</v>
      </c>
      <c r="D15" s="12" t="s">
        <v>1002</v>
      </c>
      <c r="E15" s="12" t="str">
        <f>"0,7498"</f>
        <v>0,7498</v>
      </c>
      <c r="F15" s="12" t="s">
        <v>13</v>
      </c>
      <c r="G15" s="12" t="s">
        <v>518</v>
      </c>
      <c r="H15" s="15" t="s">
        <v>85</v>
      </c>
      <c r="I15" s="29">
        <v>34</v>
      </c>
      <c r="J15" s="15" t="str">
        <f>"2295,0"</f>
        <v>2295,0</v>
      </c>
      <c r="K15" s="15" t="str">
        <f>"1720,9057"</f>
        <v>1720,9057</v>
      </c>
      <c r="L15" s="12" t="s">
        <v>20</v>
      </c>
    </row>
    <row r="16" spans="1:12" ht="12.75">
      <c r="A16" s="15" t="s">
        <v>23</v>
      </c>
      <c r="B16" s="12" t="s">
        <v>495</v>
      </c>
      <c r="C16" s="12" t="s">
        <v>1003</v>
      </c>
      <c r="D16" s="12" t="s">
        <v>996</v>
      </c>
      <c r="E16" s="12" t="str">
        <f>"0,7537"</f>
        <v>0,7537</v>
      </c>
      <c r="F16" s="12" t="s">
        <v>13</v>
      </c>
      <c r="G16" s="12" t="s">
        <v>970</v>
      </c>
      <c r="H16" s="15" t="s">
        <v>85</v>
      </c>
      <c r="I16" s="29">
        <v>44</v>
      </c>
      <c r="J16" s="15" t="str">
        <f>"2970,0"</f>
        <v>2970,0</v>
      </c>
      <c r="K16" s="15" t="str">
        <f>"2567,3766"</f>
        <v>2567,3766</v>
      </c>
      <c r="L16" s="12" t="s">
        <v>20</v>
      </c>
    </row>
    <row r="17" spans="1:12" ht="12.75">
      <c r="A17" s="19" t="s">
        <v>47</v>
      </c>
      <c r="B17" s="16" t="s">
        <v>515</v>
      </c>
      <c r="C17" s="16" t="s">
        <v>1004</v>
      </c>
      <c r="D17" s="16" t="s">
        <v>1002</v>
      </c>
      <c r="E17" s="16" t="str">
        <f>"0,7498"</f>
        <v>0,7498</v>
      </c>
      <c r="F17" s="16" t="s">
        <v>13</v>
      </c>
      <c r="G17" s="16" t="s">
        <v>518</v>
      </c>
      <c r="H17" s="19" t="s">
        <v>85</v>
      </c>
      <c r="I17" s="31">
        <v>34</v>
      </c>
      <c r="J17" s="19" t="str">
        <f>"2295,0"</f>
        <v>2295,0</v>
      </c>
      <c r="K17" s="19" t="str">
        <f>"2144,2485"</f>
        <v>2144,2485</v>
      </c>
      <c r="L17" s="16" t="s">
        <v>20</v>
      </c>
    </row>
    <row r="18" ht="12.75">
      <c r="B18" s="6" t="s">
        <v>21</v>
      </c>
    </row>
    <row r="19" spans="1:11" ht="15">
      <c r="A19" s="51" t="s">
        <v>96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2" ht="12.75">
      <c r="A20" s="11" t="s">
        <v>23</v>
      </c>
      <c r="B20" s="8" t="s">
        <v>273</v>
      </c>
      <c r="C20" s="8" t="s">
        <v>274</v>
      </c>
      <c r="D20" s="8" t="s">
        <v>231</v>
      </c>
      <c r="E20" s="8" t="str">
        <f>"0,6885"</f>
        <v>0,6885</v>
      </c>
      <c r="F20" s="8" t="s">
        <v>259</v>
      </c>
      <c r="G20" s="8" t="s">
        <v>284</v>
      </c>
      <c r="H20" s="11" t="s">
        <v>15</v>
      </c>
      <c r="I20" s="32">
        <v>24</v>
      </c>
      <c r="J20" s="11" t="str">
        <f>"1800,0"</f>
        <v>1800,0</v>
      </c>
      <c r="K20" s="11" t="str">
        <f>"1239,3900"</f>
        <v>1239,3900</v>
      </c>
      <c r="L20" s="8" t="s">
        <v>20</v>
      </c>
    </row>
    <row r="21" spans="1:12" ht="12.75">
      <c r="A21" s="15" t="s">
        <v>23</v>
      </c>
      <c r="B21" s="12" t="s">
        <v>1005</v>
      </c>
      <c r="C21" s="12" t="s">
        <v>1006</v>
      </c>
      <c r="D21" s="12" t="s">
        <v>272</v>
      </c>
      <c r="E21" s="12" t="str">
        <f>"0,6920"</f>
        <v>0,6920</v>
      </c>
      <c r="F21" s="12" t="s">
        <v>13</v>
      </c>
      <c r="G21" s="12" t="s">
        <v>1007</v>
      </c>
      <c r="H21" s="15" t="s">
        <v>15</v>
      </c>
      <c r="I21" s="29">
        <v>45</v>
      </c>
      <c r="J21" s="15" t="str">
        <f>"3375,0"</f>
        <v>3375,0</v>
      </c>
      <c r="K21" s="15" t="str">
        <f>"2335,3313"</f>
        <v>2335,3313</v>
      </c>
      <c r="L21" s="12" t="s">
        <v>20</v>
      </c>
    </row>
    <row r="22" spans="1:12" ht="12.75">
      <c r="A22" s="15" t="s">
        <v>47</v>
      </c>
      <c r="B22" s="12" t="s">
        <v>1008</v>
      </c>
      <c r="C22" s="12" t="s">
        <v>1009</v>
      </c>
      <c r="D22" s="12" t="s">
        <v>569</v>
      </c>
      <c r="E22" s="12" t="str">
        <f>"0,6947"</f>
        <v>0,6947</v>
      </c>
      <c r="F22" s="12" t="s">
        <v>13</v>
      </c>
      <c r="G22" s="12" t="s">
        <v>189</v>
      </c>
      <c r="H22" s="15" t="s">
        <v>15</v>
      </c>
      <c r="I22" s="29">
        <v>35</v>
      </c>
      <c r="J22" s="15" t="str">
        <f>"2625,0"</f>
        <v>2625,0</v>
      </c>
      <c r="K22" s="15" t="str">
        <f>"1823,5875"</f>
        <v>1823,5875</v>
      </c>
      <c r="L22" s="12" t="s">
        <v>1010</v>
      </c>
    </row>
    <row r="23" spans="1:12" ht="12.75">
      <c r="A23" s="15" t="s">
        <v>74</v>
      </c>
      <c r="B23" s="12" t="s">
        <v>286</v>
      </c>
      <c r="C23" s="12" t="s">
        <v>287</v>
      </c>
      <c r="D23" s="12" t="s">
        <v>231</v>
      </c>
      <c r="E23" s="12" t="str">
        <f>"0,6885"</f>
        <v>0,6885</v>
      </c>
      <c r="F23" s="12" t="s">
        <v>259</v>
      </c>
      <c r="G23" s="12" t="s">
        <v>260</v>
      </c>
      <c r="H23" s="15" t="s">
        <v>15</v>
      </c>
      <c r="I23" s="29">
        <v>27</v>
      </c>
      <c r="J23" s="15" t="str">
        <f>"2025,0"</f>
        <v>2025,0</v>
      </c>
      <c r="K23" s="15" t="str">
        <f>"1394,3137"</f>
        <v>1394,3137</v>
      </c>
      <c r="L23" s="12" t="s">
        <v>288</v>
      </c>
    </row>
    <row r="24" spans="1:12" ht="12.75">
      <c r="A24" s="15" t="s">
        <v>23</v>
      </c>
      <c r="B24" s="12" t="s">
        <v>591</v>
      </c>
      <c r="C24" s="12" t="s">
        <v>1011</v>
      </c>
      <c r="D24" s="12" t="s">
        <v>126</v>
      </c>
      <c r="E24" s="12" t="str">
        <f>"0,6892"</f>
        <v>0,6892</v>
      </c>
      <c r="F24" s="12" t="s">
        <v>13</v>
      </c>
      <c r="G24" s="12" t="s">
        <v>581</v>
      </c>
      <c r="H24" s="15" t="s">
        <v>15</v>
      </c>
      <c r="I24" s="29">
        <v>35</v>
      </c>
      <c r="J24" s="15" t="str">
        <f>"2625,0"</f>
        <v>2625,0</v>
      </c>
      <c r="K24" s="15" t="str">
        <f>"1845,3330"</f>
        <v>1845,3330</v>
      </c>
      <c r="L24" s="12" t="s">
        <v>20</v>
      </c>
    </row>
    <row r="25" spans="1:12" ht="12.75">
      <c r="A25" s="15" t="s">
        <v>47</v>
      </c>
      <c r="B25" s="12" t="s">
        <v>588</v>
      </c>
      <c r="C25" s="12" t="s">
        <v>1012</v>
      </c>
      <c r="D25" s="12" t="s">
        <v>972</v>
      </c>
      <c r="E25" s="12" t="str">
        <f>"0,6902"</f>
        <v>0,6902</v>
      </c>
      <c r="F25" s="12" t="s">
        <v>13</v>
      </c>
      <c r="G25" s="12" t="s">
        <v>590</v>
      </c>
      <c r="H25" s="15" t="s">
        <v>15</v>
      </c>
      <c r="I25" s="29">
        <v>33</v>
      </c>
      <c r="J25" s="15" t="str">
        <f>"2475,0"</f>
        <v>2475,0</v>
      </c>
      <c r="K25" s="15" t="str">
        <f>"1761,3281"</f>
        <v>1761,3281</v>
      </c>
      <c r="L25" s="12" t="s">
        <v>20</v>
      </c>
    </row>
    <row r="26" spans="1:12" ht="12.75">
      <c r="A26" s="19" t="s">
        <v>74</v>
      </c>
      <c r="B26" s="16" t="s">
        <v>1013</v>
      </c>
      <c r="C26" s="16" t="s">
        <v>1014</v>
      </c>
      <c r="D26" s="16" t="s">
        <v>233</v>
      </c>
      <c r="E26" s="16" t="str">
        <f>"0,6934"</f>
        <v>0,6934</v>
      </c>
      <c r="F26" s="16" t="s">
        <v>37</v>
      </c>
      <c r="G26" s="16" t="s">
        <v>14</v>
      </c>
      <c r="H26" s="19" t="s">
        <v>15</v>
      </c>
      <c r="I26" s="31">
        <v>28</v>
      </c>
      <c r="J26" s="19" t="str">
        <f>"2100,0"</f>
        <v>2100,0</v>
      </c>
      <c r="K26" s="19" t="str">
        <f>"1470,5954"</f>
        <v>1470,5954</v>
      </c>
      <c r="L26" s="16" t="s">
        <v>20</v>
      </c>
    </row>
    <row r="27" ht="12.75">
      <c r="B27" s="6" t="s">
        <v>21</v>
      </c>
    </row>
    <row r="28" spans="1:11" ht="15">
      <c r="A28" s="51" t="s">
        <v>109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2" ht="12.75">
      <c r="A29" s="11" t="s">
        <v>23</v>
      </c>
      <c r="B29" s="8" t="s">
        <v>292</v>
      </c>
      <c r="C29" s="8" t="s">
        <v>293</v>
      </c>
      <c r="D29" s="8" t="s">
        <v>289</v>
      </c>
      <c r="E29" s="8" t="str">
        <f>"0,6487"</f>
        <v>0,6487</v>
      </c>
      <c r="F29" s="8" t="s">
        <v>259</v>
      </c>
      <c r="G29" s="8" t="s">
        <v>294</v>
      </c>
      <c r="H29" s="11" t="s">
        <v>16</v>
      </c>
      <c r="I29" s="32">
        <v>22</v>
      </c>
      <c r="J29" s="11" t="str">
        <f>"1815,0"</f>
        <v>1815,0</v>
      </c>
      <c r="K29" s="11" t="str">
        <f>"1177,3905"</f>
        <v>1177,3905</v>
      </c>
      <c r="L29" s="8" t="s">
        <v>20</v>
      </c>
    </row>
    <row r="30" spans="1:12" ht="12.75">
      <c r="A30" s="15" t="s">
        <v>23</v>
      </c>
      <c r="B30" s="12" t="s">
        <v>605</v>
      </c>
      <c r="C30" s="12" t="s">
        <v>606</v>
      </c>
      <c r="D30" s="12" t="s">
        <v>300</v>
      </c>
      <c r="E30" s="12" t="str">
        <f>"0,6482"</f>
        <v>0,6482</v>
      </c>
      <c r="F30" s="12" t="s">
        <v>13</v>
      </c>
      <c r="G30" s="12" t="s">
        <v>437</v>
      </c>
      <c r="H30" s="15" t="s">
        <v>16</v>
      </c>
      <c r="I30" s="29">
        <v>41</v>
      </c>
      <c r="J30" s="15" t="str">
        <f>"3382,5"</f>
        <v>3382,5</v>
      </c>
      <c r="K30" s="15" t="str">
        <f>"2192,5364"</f>
        <v>2192,5364</v>
      </c>
      <c r="L30" s="12" t="s">
        <v>20</v>
      </c>
    </row>
    <row r="31" spans="1:12" ht="12.75">
      <c r="A31" s="15" t="s">
        <v>47</v>
      </c>
      <c r="B31" s="12" t="s">
        <v>942</v>
      </c>
      <c r="C31" s="12" t="s">
        <v>943</v>
      </c>
      <c r="D31" s="12" t="s">
        <v>235</v>
      </c>
      <c r="E31" s="12" t="str">
        <f>"0,6446"</f>
        <v>0,6446</v>
      </c>
      <c r="F31" s="12" t="s">
        <v>239</v>
      </c>
      <c r="G31" s="12" t="s">
        <v>944</v>
      </c>
      <c r="H31" s="15" t="s">
        <v>16</v>
      </c>
      <c r="I31" s="29">
        <v>41</v>
      </c>
      <c r="J31" s="15" t="str">
        <f>"3382,5"</f>
        <v>3382,5</v>
      </c>
      <c r="K31" s="15" t="str">
        <f>"2180,3594"</f>
        <v>2180,3594</v>
      </c>
      <c r="L31" s="12" t="s">
        <v>20</v>
      </c>
    </row>
    <row r="32" spans="1:12" ht="12.75">
      <c r="A32" s="15" t="s">
        <v>74</v>
      </c>
      <c r="B32" s="12" t="s">
        <v>1015</v>
      </c>
      <c r="C32" s="12" t="s">
        <v>1016</v>
      </c>
      <c r="D32" s="12" t="s">
        <v>1017</v>
      </c>
      <c r="E32" s="12" t="str">
        <f>"0,6746"</f>
        <v>0,6746</v>
      </c>
      <c r="F32" s="12" t="s">
        <v>13</v>
      </c>
      <c r="G32" s="12" t="s">
        <v>1018</v>
      </c>
      <c r="H32" s="15" t="s">
        <v>59</v>
      </c>
      <c r="I32" s="29">
        <v>36</v>
      </c>
      <c r="J32" s="15" t="str">
        <f>"2790,0"</f>
        <v>2790,0</v>
      </c>
      <c r="K32" s="15" t="str">
        <f>"1882,0642"</f>
        <v>1882,0642</v>
      </c>
      <c r="L32" s="12" t="s">
        <v>1019</v>
      </c>
    </row>
    <row r="33" spans="1:12" ht="12.75">
      <c r="A33" s="15" t="s">
        <v>75</v>
      </c>
      <c r="B33" s="12" t="s">
        <v>631</v>
      </c>
      <c r="C33" s="12" t="s">
        <v>973</v>
      </c>
      <c r="D33" s="12" t="s">
        <v>633</v>
      </c>
      <c r="E33" s="12" t="str">
        <f>"0,6529"</f>
        <v>0,6529</v>
      </c>
      <c r="F33" s="12" t="s">
        <v>13</v>
      </c>
      <c r="G33" s="12" t="s">
        <v>302</v>
      </c>
      <c r="H33" s="15" t="s">
        <v>16</v>
      </c>
      <c r="I33" s="29">
        <v>34</v>
      </c>
      <c r="J33" s="15" t="str">
        <f>"2805,0"</f>
        <v>2805,0</v>
      </c>
      <c r="K33" s="15" t="str">
        <f>"1831,3844"</f>
        <v>1831,3844</v>
      </c>
      <c r="L33" s="12" t="s">
        <v>20</v>
      </c>
    </row>
    <row r="34" spans="1:12" ht="12.75">
      <c r="A34" s="15" t="s">
        <v>95</v>
      </c>
      <c r="B34" s="12" t="s">
        <v>295</v>
      </c>
      <c r="C34" s="12" t="s">
        <v>296</v>
      </c>
      <c r="D34" s="12" t="s">
        <v>1020</v>
      </c>
      <c r="E34" s="12" t="str">
        <f>"0,6603"</f>
        <v>0,6603</v>
      </c>
      <c r="F34" s="12" t="s">
        <v>13</v>
      </c>
      <c r="G34" s="12" t="s">
        <v>298</v>
      </c>
      <c r="H34" s="15" t="s">
        <v>24</v>
      </c>
      <c r="I34" s="29">
        <v>33</v>
      </c>
      <c r="J34" s="15" t="str">
        <f>"2640,0"</f>
        <v>2640,0</v>
      </c>
      <c r="K34" s="15" t="str">
        <f>"1743,2580"</f>
        <v>1743,2580</v>
      </c>
      <c r="L34" s="12" t="s">
        <v>299</v>
      </c>
    </row>
    <row r="35" spans="1:12" ht="12.75">
      <c r="A35" s="15" t="s">
        <v>190</v>
      </c>
      <c r="B35" s="12" t="s">
        <v>1021</v>
      </c>
      <c r="C35" s="12" t="s">
        <v>1022</v>
      </c>
      <c r="D35" s="12" t="s">
        <v>235</v>
      </c>
      <c r="E35" s="12" t="str">
        <f>"0,6446"</f>
        <v>0,6446</v>
      </c>
      <c r="F35" s="12" t="s">
        <v>37</v>
      </c>
      <c r="G35" s="12" t="s">
        <v>14</v>
      </c>
      <c r="H35" s="15" t="s">
        <v>16</v>
      </c>
      <c r="I35" s="29">
        <v>10</v>
      </c>
      <c r="J35" s="15" t="str">
        <f>"1567,5"</f>
        <v>1567,5</v>
      </c>
      <c r="K35" s="15" t="str">
        <f>"1010,4105"</f>
        <v>1010,4105</v>
      </c>
      <c r="L35" s="12" t="s">
        <v>20</v>
      </c>
    </row>
    <row r="36" spans="1:12" ht="12.75">
      <c r="A36" s="15" t="s">
        <v>12</v>
      </c>
      <c r="B36" s="12" t="s">
        <v>1023</v>
      </c>
      <c r="C36" s="12" t="s">
        <v>1024</v>
      </c>
      <c r="D36" s="12" t="s">
        <v>1025</v>
      </c>
      <c r="E36" s="12" t="str">
        <f>"0,6581"</f>
        <v>0,6581</v>
      </c>
      <c r="F36" s="12" t="s">
        <v>13</v>
      </c>
      <c r="G36" s="12" t="s">
        <v>581</v>
      </c>
      <c r="H36" s="13" t="s">
        <v>24</v>
      </c>
      <c r="I36" s="29"/>
      <c r="J36" s="15" t="str">
        <f>"0.00"</f>
        <v>0.00</v>
      </c>
      <c r="K36" s="15" t="str">
        <f>"0,0000"</f>
        <v>0,0000</v>
      </c>
      <c r="L36" s="12" t="s">
        <v>20</v>
      </c>
    </row>
    <row r="37" spans="1:12" ht="12.75">
      <c r="A37" s="15" t="s">
        <v>23</v>
      </c>
      <c r="B37" s="12" t="s">
        <v>605</v>
      </c>
      <c r="C37" s="12" t="s">
        <v>1026</v>
      </c>
      <c r="D37" s="12" t="s">
        <v>300</v>
      </c>
      <c r="E37" s="12" t="str">
        <f>"0,6482"</f>
        <v>0,6482</v>
      </c>
      <c r="F37" s="12" t="s">
        <v>13</v>
      </c>
      <c r="G37" s="12" t="s">
        <v>437</v>
      </c>
      <c r="H37" s="15" t="s">
        <v>16</v>
      </c>
      <c r="I37" s="29">
        <v>41</v>
      </c>
      <c r="J37" s="15" t="str">
        <f>"3382,5"</f>
        <v>3382,5</v>
      </c>
      <c r="K37" s="15" t="str">
        <f>"2286,8155"</f>
        <v>2286,8155</v>
      </c>
      <c r="L37" s="12" t="s">
        <v>20</v>
      </c>
    </row>
    <row r="38" spans="1:12" ht="12.75">
      <c r="A38" s="19" t="s">
        <v>23</v>
      </c>
      <c r="B38" s="16" t="s">
        <v>631</v>
      </c>
      <c r="C38" s="16" t="s">
        <v>1027</v>
      </c>
      <c r="D38" s="16" t="s">
        <v>633</v>
      </c>
      <c r="E38" s="16" t="str">
        <f>"0,6529"</f>
        <v>0,6529</v>
      </c>
      <c r="F38" s="16" t="s">
        <v>13</v>
      </c>
      <c r="G38" s="16" t="s">
        <v>302</v>
      </c>
      <c r="H38" s="19" t="s">
        <v>16</v>
      </c>
      <c r="I38" s="31">
        <v>34</v>
      </c>
      <c r="J38" s="19" t="str">
        <f>"2805,0"</f>
        <v>2805,0</v>
      </c>
      <c r="K38" s="19" t="str">
        <f>"2069,4644"</f>
        <v>2069,4644</v>
      </c>
      <c r="L38" s="16" t="s">
        <v>20</v>
      </c>
    </row>
    <row r="39" ht="12.75">
      <c r="B39" s="6" t="s">
        <v>21</v>
      </c>
    </row>
    <row r="40" spans="1:11" ht="15">
      <c r="A40" s="51" t="s">
        <v>153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2" ht="12.75">
      <c r="A41" s="11" t="s">
        <v>23</v>
      </c>
      <c r="B41" s="8" t="s">
        <v>364</v>
      </c>
      <c r="C41" s="8" t="s">
        <v>365</v>
      </c>
      <c r="D41" s="8" t="s">
        <v>166</v>
      </c>
      <c r="E41" s="8" t="str">
        <f>"0,6145"</f>
        <v>0,6145</v>
      </c>
      <c r="F41" s="8" t="s">
        <v>259</v>
      </c>
      <c r="G41" s="8" t="s">
        <v>294</v>
      </c>
      <c r="H41" s="11" t="s">
        <v>39</v>
      </c>
      <c r="I41" s="32">
        <v>19</v>
      </c>
      <c r="J41" s="11" t="str">
        <f>"1710,0"</f>
        <v>1710,0</v>
      </c>
      <c r="K41" s="11" t="str">
        <f>"1050,8805"</f>
        <v>1050,8805</v>
      </c>
      <c r="L41" s="8" t="s">
        <v>20</v>
      </c>
    </row>
    <row r="42" spans="1:12" ht="12.75">
      <c r="A42" s="15" t="s">
        <v>23</v>
      </c>
      <c r="B42" s="12" t="s">
        <v>1028</v>
      </c>
      <c r="C42" s="12" t="s">
        <v>1029</v>
      </c>
      <c r="D42" s="12" t="s">
        <v>644</v>
      </c>
      <c r="E42" s="12" t="str">
        <f>"0,6130"</f>
        <v>0,6130</v>
      </c>
      <c r="F42" s="12" t="s">
        <v>13</v>
      </c>
      <c r="G42" s="12" t="s">
        <v>132</v>
      </c>
      <c r="H42" s="15" t="s">
        <v>39</v>
      </c>
      <c r="I42" s="29">
        <v>37</v>
      </c>
      <c r="J42" s="15" t="str">
        <f>"3330,0"</f>
        <v>3330,0</v>
      </c>
      <c r="K42" s="15" t="str">
        <f>"2041,2899"</f>
        <v>2041,2899</v>
      </c>
      <c r="L42" s="12" t="s">
        <v>20</v>
      </c>
    </row>
    <row r="43" spans="1:12" ht="12.75">
      <c r="A43" s="15" t="s">
        <v>47</v>
      </c>
      <c r="B43" s="12" t="s">
        <v>659</v>
      </c>
      <c r="C43" s="12" t="s">
        <v>660</v>
      </c>
      <c r="D43" s="12" t="s">
        <v>1030</v>
      </c>
      <c r="E43" s="12" t="str">
        <f>"0,6232"</f>
        <v>0,6232</v>
      </c>
      <c r="F43" s="12" t="s">
        <v>37</v>
      </c>
      <c r="G43" s="12" t="s">
        <v>14</v>
      </c>
      <c r="H43" s="15" t="s">
        <v>454</v>
      </c>
      <c r="I43" s="29">
        <v>37</v>
      </c>
      <c r="J43" s="15" t="str">
        <f>"3237,5"</f>
        <v>3237,5</v>
      </c>
      <c r="K43" s="15" t="str">
        <f>"2017,6100"</f>
        <v>2017,6100</v>
      </c>
      <c r="L43" s="12" t="s">
        <v>662</v>
      </c>
    </row>
    <row r="44" spans="1:12" ht="12.75">
      <c r="A44" s="15" t="s">
        <v>74</v>
      </c>
      <c r="B44" s="12" t="s">
        <v>672</v>
      </c>
      <c r="C44" s="12" t="s">
        <v>673</v>
      </c>
      <c r="D44" s="12" t="s">
        <v>974</v>
      </c>
      <c r="E44" s="12" t="str">
        <f>"0,6179"</f>
        <v>0,6179</v>
      </c>
      <c r="F44" s="12" t="s">
        <v>239</v>
      </c>
      <c r="G44" s="12" t="s">
        <v>984</v>
      </c>
      <c r="H44" s="15" t="s">
        <v>39</v>
      </c>
      <c r="I44" s="29">
        <v>35</v>
      </c>
      <c r="J44" s="15" t="str">
        <f>"3150,0"</f>
        <v>3150,0</v>
      </c>
      <c r="K44" s="15" t="str">
        <f>"1946,3850"</f>
        <v>1946,3850</v>
      </c>
      <c r="L44" s="12" t="s">
        <v>675</v>
      </c>
    </row>
    <row r="45" spans="1:12" ht="12.75">
      <c r="A45" s="15" t="s">
        <v>75</v>
      </c>
      <c r="B45" s="12" t="s">
        <v>305</v>
      </c>
      <c r="C45" s="12" t="s">
        <v>306</v>
      </c>
      <c r="D45" s="12" t="s">
        <v>242</v>
      </c>
      <c r="E45" s="12" t="str">
        <f>"0,6141"</f>
        <v>0,6141</v>
      </c>
      <c r="F45" s="12" t="s">
        <v>259</v>
      </c>
      <c r="G45" s="12" t="s">
        <v>260</v>
      </c>
      <c r="H45" s="15" t="s">
        <v>39</v>
      </c>
      <c r="I45" s="29">
        <v>33</v>
      </c>
      <c r="J45" s="15" t="str">
        <f>"2970,0"</f>
        <v>2970,0</v>
      </c>
      <c r="K45" s="15" t="str">
        <f>"1824,0255"</f>
        <v>1824,0255</v>
      </c>
      <c r="L45" s="12" t="s">
        <v>288</v>
      </c>
    </row>
    <row r="46" spans="1:12" ht="12.75">
      <c r="A46" s="15" t="s">
        <v>23</v>
      </c>
      <c r="B46" s="12" t="s">
        <v>672</v>
      </c>
      <c r="C46" s="12" t="s">
        <v>1031</v>
      </c>
      <c r="D46" s="12" t="s">
        <v>974</v>
      </c>
      <c r="E46" s="12" t="str">
        <f>"0,6179"</f>
        <v>0,6179</v>
      </c>
      <c r="F46" s="12" t="s">
        <v>239</v>
      </c>
      <c r="G46" s="12" t="s">
        <v>984</v>
      </c>
      <c r="H46" s="15" t="s">
        <v>39</v>
      </c>
      <c r="I46" s="29">
        <v>35</v>
      </c>
      <c r="J46" s="15" t="str">
        <f>"3150,0"</f>
        <v>3150,0</v>
      </c>
      <c r="K46" s="15" t="str">
        <f>"1985,3127"</f>
        <v>1985,3127</v>
      </c>
      <c r="L46" s="12" t="s">
        <v>675</v>
      </c>
    </row>
    <row r="47" spans="1:12" ht="12.75">
      <c r="A47" s="19" t="s">
        <v>23</v>
      </c>
      <c r="B47" s="16" t="s">
        <v>168</v>
      </c>
      <c r="C47" s="16" t="s">
        <v>1032</v>
      </c>
      <c r="D47" s="16" t="s">
        <v>328</v>
      </c>
      <c r="E47" s="16" t="str">
        <f>"0,6273"</f>
        <v>0,6273</v>
      </c>
      <c r="F47" s="16" t="s">
        <v>13</v>
      </c>
      <c r="G47" s="16" t="s">
        <v>171</v>
      </c>
      <c r="H47" s="19" t="s">
        <v>454</v>
      </c>
      <c r="I47" s="31">
        <v>13</v>
      </c>
      <c r="J47" s="19" t="str">
        <f>"1137,5"</f>
        <v>1137,5</v>
      </c>
      <c r="K47" s="19" t="str">
        <f>"1280,7269"</f>
        <v>1280,7269</v>
      </c>
      <c r="L47" s="16" t="s">
        <v>20</v>
      </c>
    </row>
    <row r="48" ht="12.75">
      <c r="B48" s="6" t="s">
        <v>21</v>
      </c>
    </row>
    <row r="49" spans="1:11" ht="15">
      <c r="A49" s="51" t="s">
        <v>172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2" ht="12.75">
      <c r="A50" s="11" t="s">
        <v>23</v>
      </c>
      <c r="B50" s="8" t="s">
        <v>368</v>
      </c>
      <c r="C50" s="8" t="s">
        <v>369</v>
      </c>
      <c r="D50" s="8" t="s">
        <v>370</v>
      </c>
      <c r="E50" s="8" t="str">
        <f>"0,5828"</f>
        <v>0,5828</v>
      </c>
      <c r="F50" s="8" t="s">
        <v>13</v>
      </c>
      <c r="G50" s="8" t="s">
        <v>194</v>
      </c>
      <c r="H50" s="11" t="s">
        <v>34</v>
      </c>
      <c r="I50" s="32">
        <v>30</v>
      </c>
      <c r="J50" s="11" t="str">
        <f>"3000,0"</f>
        <v>3000,0</v>
      </c>
      <c r="K50" s="11" t="str">
        <f>"1748,3999"</f>
        <v>1748,3999</v>
      </c>
      <c r="L50" s="8" t="s">
        <v>371</v>
      </c>
    </row>
    <row r="51" spans="1:12" ht="12.75">
      <c r="A51" s="15" t="s">
        <v>47</v>
      </c>
      <c r="B51" s="12" t="s">
        <v>1033</v>
      </c>
      <c r="C51" s="12" t="s">
        <v>1034</v>
      </c>
      <c r="D51" s="12" t="s">
        <v>985</v>
      </c>
      <c r="E51" s="12" t="str">
        <f>"0,6075"</f>
        <v>0,6075</v>
      </c>
      <c r="F51" s="12" t="s">
        <v>13</v>
      </c>
      <c r="G51" s="12" t="s">
        <v>14</v>
      </c>
      <c r="H51" s="15" t="s">
        <v>29</v>
      </c>
      <c r="I51" s="29">
        <v>27</v>
      </c>
      <c r="J51" s="15" t="str">
        <f>"2497,5"</f>
        <v>2497,5</v>
      </c>
      <c r="K51" s="15" t="str">
        <f>"1517,2313"</f>
        <v>1517,2313</v>
      </c>
      <c r="L51" s="12" t="s">
        <v>20</v>
      </c>
    </row>
    <row r="52" spans="1:12" ht="12.75">
      <c r="A52" s="15" t="s">
        <v>74</v>
      </c>
      <c r="B52" s="12" t="s">
        <v>752</v>
      </c>
      <c r="C52" s="12" t="s">
        <v>753</v>
      </c>
      <c r="D52" s="12" t="s">
        <v>754</v>
      </c>
      <c r="E52" s="12" t="str">
        <f>"0,5825"</f>
        <v>0,5825</v>
      </c>
      <c r="F52" s="12" t="s">
        <v>13</v>
      </c>
      <c r="G52" s="12" t="s">
        <v>1035</v>
      </c>
      <c r="H52" s="15" t="s">
        <v>34</v>
      </c>
      <c r="I52" s="29">
        <v>26</v>
      </c>
      <c r="J52" s="15" t="str">
        <f>"2600,0"</f>
        <v>2600,0</v>
      </c>
      <c r="K52" s="15" t="str">
        <f>"1514,6300"</f>
        <v>1514,6300</v>
      </c>
      <c r="L52" s="12" t="s">
        <v>756</v>
      </c>
    </row>
    <row r="53" spans="1:12" ht="12.75">
      <c r="A53" s="19" t="s">
        <v>23</v>
      </c>
      <c r="B53" s="16" t="s">
        <v>763</v>
      </c>
      <c r="C53" s="16" t="s">
        <v>1036</v>
      </c>
      <c r="D53" s="16" t="s">
        <v>1037</v>
      </c>
      <c r="E53" s="16" t="str">
        <f>"0,5901"</f>
        <v>0,5901</v>
      </c>
      <c r="F53" s="16" t="s">
        <v>13</v>
      </c>
      <c r="G53" s="16" t="s">
        <v>514</v>
      </c>
      <c r="H53" s="19" t="s">
        <v>40</v>
      </c>
      <c r="I53" s="31">
        <v>24</v>
      </c>
      <c r="J53" s="19" t="str">
        <f>"2340,0"</f>
        <v>2340,0</v>
      </c>
      <c r="K53" s="19" t="str">
        <f>"1408,3910"</f>
        <v>1408,3910</v>
      </c>
      <c r="L53" s="16" t="s">
        <v>766</v>
      </c>
    </row>
    <row r="54" ht="12.75">
      <c r="B54" s="6" t="s">
        <v>21</v>
      </c>
    </row>
    <row r="55" spans="1:11" ht="15">
      <c r="A55" s="51" t="s">
        <v>185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2" ht="12.75">
      <c r="A56" s="11" t="s">
        <v>23</v>
      </c>
      <c r="B56" s="8" t="s">
        <v>813</v>
      </c>
      <c r="C56" s="8" t="s">
        <v>427</v>
      </c>
      <c r="D56" s="8" t="s">
        <v>378</v>
      </c>
      <c r="E56" s="8" t="str">
        <f>"0,5706"</f>
        <v>0,5706</v>
      </c>
      <c r="F56" s="8" t="s">
        <v>13</v>
      </c>
      <c r="G56" s="8" t="s">
        <v>670</v>
      </c>
      <c r="H56" s="11" t="s">
        <v>35</v>
      </c>
      <c r="I56" s="32">
        <v>37</v>
      </c>
      <c r="J56" s="11" t="str">
        <f>"3885,0"</f>
        <v>3885,0</v>
      </c>
      <c r="K56" s="11" t="str">
        <f>"2216,9752"</f>
        <v>2216,9752</v>
      </c>
      <c r="L56" s="8" t="s">
        <v>814</v>
      </c>
    </row>
    <row r="57" spans="1:12" ht="12.75">
      <c r="A57" s="15" t="s">
        <v>47</v>
      </c>
      <c r="B57" s="12" t="s">
        <v>815</v>
      </c>
      <c r="C57" s="12" t="s">
        <v>816</v>
      </c>
      <c r="D57" s="12" t="s">
        <v>817</v>
      </c>
      <c r="E57" s="12" t="str">
        <f>"0,5681"</f>
        <v>0,5681</v>
      </c>
      <c r="F57" s="12" t="s">
        <v>13</v>
      </c>
      <c r="G57" s="12" t="s">
        <v>194</v>
      </c>
      <c r="H57" s="15" t="s">
        <v>69</v>
      </c>
      <c r="I57" s="29">
        <v>31</v>
      </c>
      <c r="J57" s="15" t="str">
        <f>"3332,5"</f>
        <v>3332,5</v>
      </c>
      <c r="K57" s="15" t="str">
        <f>"1893,1932"</f>
        <v>1893,1932</v>
      </c>
      <c r="L57" s="12" t="s">
        <v>20</v>
      </c>
    </row>
    <row r="58" spans="1:12" ht="12.75">
      <c r="A58" s="15" t="s">
        <v>23</v>
      </c>
      <c r="B58" s="12" t="s">
        <v>191</v>
      </c>
      <c r="C58" s="12" t="s">
        <v>1038</v>
      </c>
      <c r="D58" s="12" t="s">
        <v>193</v>
      </c>
      <c r="E58" s="12" t="str">
        <f>"0,5664"</f>
        <v>0,5664</v>
      </c>
      <c r="F58" s="12" t="s">
        <v>335</v>
      </c>
      <c r="G58" s="12" t="s">
        <v>194</v>
      </c>
      <c r="H58" s="15" t="s">
        <v>69</v>
      </c>
      <c r="I58" s="29">
        <v>21</v>
      </c>
      <c r="J58" s="15" t="str">
        <f>"2257,5"</f>
        <v>2257,5</v>
      </c>
      <c r="K58" s="15" t="str">
        <f>"1318,4025"</f>
        <v>1318,4025</v>
      </c>
      <c r="L58" s="12" t="s">
        <v>20</v>
      </c>
    </row>
    <row r="59" spans="1:12" ht="12.75">
      <c r="A59" s="19" t="s">
        <v>23</v>
      </c>
      <c r="B59" s="16" t="s">
        <v>839</v>
      </c>
      <c r="C59" s="16" t="s">
        <v>1039</v>
      </c>
      <c r="D59" s="16" t="s">
        <v>841</v>
      </c>
      <c r="E59" s="16" t="str">
        <f>"0,5638"</f>
        <v>0,5638</v>
      </c>
      <c r="F59" s="16" t="s">
        <v>13</v>
      </c>
      <c r="G59" s="16" t="s">
        <v>145</v>
      </c>
      <c r="H59" s="19" t="s">
        <v>36</v>
      </c>
      <c r="I59" s="31">
        <v>13</v>
      </c>
      <c r="J59" s="19" t="str">
        <f>"1430,0"</f>
        <v>1430,0</v>
      </c>
      <c r="K59" s="19" t="str">
        <f>"911,0444"</f>
        <v>911,0444</v>
      </c>
      <c r="L59" s="16" t="s">
        <v>842</v>
      </c>
    </row>
    <row r="60" ht="12.75">
      <c r="B60" s="6" t="s">
        <v>21</v>
      </c>
    </row>
    <row r="61" spans="1:11" ht="15">
      <c r="A61" s="51" t="s">
        <v>196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2" ht="12.75">
      <c r="A62" s="11" t="s">
        <v>23</v>
      </c>
      <c r="B62" s="8" t="s">
        <v>860</v>
      </c>
      <c r="C62" s="8" t="s">
        <v>861</v>
      </c>
      <c r="D62" s="8" t="s">
        <v>862</v>
      </c>
      <c r="E62" s="8" t="str">
        <f>"0,5616"</f>
        <v>0,5616</v>
      </c>
      <c r="F62" s="8" t="s">
        <v>13</v>
      </c>
      <c r="G62" s="8" t="s">
        <v>863</v>
      </c>
      <c r="H62" s="11" t="s">
        <v>51</v>
      </c>
      <c r="I62" s="32">
        <v>27</v>
      </c>
      <c r="J62" s="11" t="str">
        <f>"3037,5"</f>
        <v>3037,5</v>
      </c>
      <c r="K62" s="11" t="str">
        <f>"1705,7082"</f>
        <v>1705,7082</v>
      </c>
      <c r="L62" s="8" t="s">
        <v>20</v>
      </c>
    </row>
    <row r="63" spans="1:12" ht="12.75">
      <c r="A63" s="15" t="s">
        <v>47</v>
      </c>
      <c r="B63" s="12" t="s">
        <v>1040</v>
      </c>
      <c r="C63" s="12" t="s">
        <v>1041</v>
      </c>
      <c r="D63" s="12" t="s">
        <v>1042</v>
      </c>
      <c r="E63" s="12" t="str">
        <f>"0,5606"</f>
        <v>0,5606</v>
      </c>
      <c r="F63" s="12" t="s">
        <v>13</v>
      </c>
      <c r="G63" s="12" t="s">
        <v>115</v>
      </c>
      <c r="H63" s="15" t="s">
        <v>51</v>
      </c>
      <c r="I63" s="29">
        <v>27</v>
      </c>
      <c r="J63" s="15" t="str">
        <f>"3037,5"</f>
        <v>3037,5</v>
      </c>
      <c r="K63" s="15" t="str">
        <f>"1702,8224"</f>
        <v>1702,8224</v>
      </c>
      <c r="L63" s="12" t="s">
        <v>20</v>
      </c>
    </row>
    <row r="64" spans="1:12" ht="12.75">
      <c r="A64" s="19" t="s">
        <v>74</v>
      </c>
      <c r="B64" s="16" t="s">
        <v>975</v>
      </c>
      <c r="C64" s="16" t="s">
        <v>976</v>
      </c>
      <c r="D64" s="16" t="s">
        <v>968</v>
      </c>
      <c r="E64" s="16" t="str">
        <f>"0,5509"</f>
        <v>0,5509</v>
      </c>
      <c r="F64" s="16" t="s">
        <v>135</v>
      </c>
      <c r="G64" s="16" t="s">
        <v>977</v>
      </c>
      <c r="H64" s="19" t="s">
        <v>53</v>
      </c>
      <c r="I64" s="31">
        <v>26</v>
      </c>
      <c r="J64" s="19" t="str">
        <f>"3120,0"</f>
        <v>3120,0</v>
      </c>
      <c r="K64" s="19" t="str">
        <f>"1718,9640"</f>
        <v>1718,9640</v>
      </c>
      <c r="L64" s="16" t="s">
        <v>978</v>
      </c>
    </row>
    <row r="65" ht="12.75">
      <c r="B65" s="6" t="s">
        <v>21</v>
      </c>
    </row>
    <row r="66" spans="1:11" ht="15">
      <c r="A66" s="51" t="s">
        <v>201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2" ht="12.75">
      <c r="A67" s="11" t="s">
        <v>23</v>
      </c>
      <c r="B67" s="8" t="s">
        <v>1043</v>
      </c>
      <c r="C67" s="8" t="s">
        <v>1044</v>
      </c>
      <c r="D67" s="8" t="s">
        <v>1045</v>
      </c>
      <c r="E67" s="8" t="str">
        <f>"0,5448"</f>
        <v>0,5448</v>
      </c>
      <c r="F67" s="8" t="s">
        <v>13</v>
      </c>
      <c r="G67" s="8" t="s">
        <v>14</v>
      </c>
      <c r="H67" s="11" t="s">
        <v>67</v>
      </c>
      <c r="I67" s="32">
        <v>25</v>
      </c>
      <c r="J67" s="11" t="str">
        <f>"3187,5"</f>
        <v>3187,5</v>
      </c>
      <c r="K67" s="11" t="str">
        <f>"1736,5819"</f>
        <v>1736,5819</v>
      </c>
      <c r="L67" s="8" t="s">
        <v>1046</v>
      </c>
    </row>
    <row r="68" spans="1:12" ht="12.75">
      <c r="A68" s="19" t="s">
        <v>47</v>
      </c>
      <c r="B68" s="16" t="s">
        <v>1047</v>
      </c>
      <c r="C68" s="16" t="s">
        <v>1048</v>
      </c>
      <c r="D68" s="16" t="s">
        <v>1049</v>
      </c>
      <c r="E68" s="16" t="str">
        <f>"0,5444"</f>
        <v>0,5444</v>
      </c>
      <c r="F68" s="16" t="s">
        <v>13</v>
      </c>
      <c r="G68" s="16" t="s">
        <v>14</v>
      </c>
      <c r="H68" s="19" t="s">
        <v>67</v>
      </c>
      <c r="I68" s="31">
        <v>22</v>
      </c>
      <c r="J68" s="19" t="str">
        <f>"2805,0"</f>
        <v>2805,0</v>
      </c>
      <c r="K68" s="19" t="str">
        <f>"1526,9578"</f>
        <v>1526,9578</v>
      </c>
      <c r="L68" s="16" t="s">
        <v>1050</v>
      </c>
    </row>
    <row r="69" ht="12.75">
      <c r="B69" s="6" t="s">
        <v>21</v>
      </c>
    </row>
    <row r="70" spans="1:11" ht="15">
      <c r="A70" s="51" t="s">
        <v>206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2" ht="12.75">
      <c r="A71" s="23" t="s">
        <v>23</v>
      </c>
      <c r="B71" s="20" t="s">
        <v>1051</v>
      </c>
      <c r="C71" s="20" t="s">
        <v>1052</v>
      </c>
      <c r="D71" s="20" t="s">
        <v>1053</v>
      </c>
      <c r="E71" s="20" t="str">
        <f>"0,5286"</f>
        <v>0,5286</v>
      </c>
      <c r="F71" s="20" t="s">
        <v>13</v>
      </c>
      <c r="G71" s="20" t="s">
        <v>14</v>
      </c>
      <c r="H71" s="23" t="s">
        <v>44</v>
      </c>
      <c r="I71" s="33">
        <v>11</v>
      </c>
      <c r="J71" s="23" t="str">
        <f>"1595,0"</f>
        <v>1595,0</v>
      </c>
      <c r="K71" s="23" t="str">
        <f>"1050,4542"</f>
        <v>1050,4542</v>
      </c>
      <c r="L71" s="20" t="s">
        <v>20</v>
      </c>
    </row>
    <row r="72" ht="12.75">
      <c r="B72" s="6" t="s">
        <v>21</v>
      </c>
    </row>
    <row r="73" spans="2:6" ht="15">
      <c r="B73" s="6" t="s">
        <v>21</v>
      </c>
      <c r="F73" s="24"/>
    </row>
    <row r="74" ht="12.75">
      <c r="B74" s="6" t="s">
        <v>21</v>
      </c>
    </row>
    <row r="75" spans="2:7" ht="18">
      <c r="B75" s="25" t="s">
        <v>210</v>
      </c>
      <c r="C75" s="25"/>
      <c r="G75" s="3"/>
    </row>
    <row r="76" spans="2:7" ht="14.25">
      <c r="B76" s="27"/>
      <c r="C76" s="27" t="s">
        <v>212</v>
      </c>
      <c r="G76" s="3"/>
    </row>
    <row r="77" spans="2:7" ht="15">
      <c r="B77" s="5" t="s">
        <v>213</v>
      </c>
      <c r="C77" s="5" t="s">
        <v>214</v>
      </c>
      <c r="D77" s="5" t="s">
        <v>215</v>
      </c>
      <c r="E77" s="5" t="s">
        <v>989</v>
      </c>
      <c r="F77" s="5" t="s">
        <v>979</v>
      </c>
      <c r="G77" s="3"/>
    </row>
    <row r="78" spans="2:7" ht="12.75">
      <c r="B78" s="6" t="s">
        <v>1005</v>
      </c>
      <c r="C78" s="6" t="s">
        <v>212</v>
      </c>
      <c r="D78" s="7" t="s">
        <v>220</v>
      </c>
      <c r="E78" s="7" t="s">
        <v>1054</v>
      </c>
      <c r="F78" s="7" t="s">
        <v>1055</v>
      </c>
      <c r="G78" s="3"/>
    </row>
    <row r="79" spans="2:7" ht="12.75">
      <c r="B79" s="6" t="s">
        <v>495</v>
      </c>
      <c r="C79" s="6" t="s">
        <v>212</v>
      </c>
      <c r="D79" s="7" t="s">
        <v>217</v>
      </c>
      <c r="E79" s="7" t="s">
        <v>1056</v>
      </c>
      <c r="F79" s="7" t="s">
        <v>1057</v>
      </c>
      <c r="G79" s="3"/>
    </row>
    <row r="80" spans="2:7" ht="12.75">
      <c r="B80" s="6" t="s">
        <v>813</v>
      </c>
      <c r="C80" s="6" t="s">
        <v>212</v>
      </c>
      <c r="D80" s="7" t="s">
        <v>229</v>
      </c>
      <c r="E80" s="7" t="s">
        <v>1058</v>
      </c>
      <c r="F80" s="7" t="s">
        <v>1059</v>
      </c>
      <c r="G80" s="3"/>
    </row>
    <row r="81" ht="12.75">
      <c r="G81" s="3"/>
    </row>
    <row r="82" spans="2:7" ht="14.25">
      <c r="B82" s="27"/>
      <c r="C82" s="27" t="s">
        <v>219</v>
      </c>
      <c r="G82" s="3"/>
    </row>
    <row r="83" spans="2:7" ht="15">
      <c r="B83" s="5" t="s">
        <v>213</v>
      </c>
      <c r="C83" s="5" t="s">
        <v>214</v>
      </c>
      <c r="D83" s="5" t="s">
        <v>215</v>
      </c>
      <c r="E83" s="5" t="s">
        <v>989</v>
      </c>
      <c r="F83" s="5" t="s">
        <v>979</v>
      </c>
      <c r="G83" s="3"/>
    </row>
    <row r="84" spans="2:7" ht="12.75">
      <c r="B84" s="6" t="s">
        <v>495</v>
      </c>
      <c r="C84" s="6" t="s">
        <v>1060</v>
      </c>
      <c r="D84" s="7" t="s">
        <v>217</v>
      </c>
      <c r="E84" s="7" t="s">
        <v>1056</v>
      </c>
      <c r="F84" s="7" t="s">
        <v>1061</v>
      </c>
      <c r="G84" s="3"/>
    </row>
    <row r="85" spans="2:7" ht="12.75">
      <c r="B85" s="6" t="s">
        <v>605</v>
      </c>
      <c r="C85" s="6" t="s">
        <v>1062</v>
      </c>
      <c r="D85" s="7" t="s">
        <v>228</v>
      </c>
      <c r="E85" s="7" t="s">
        <v>1063</v>
      </c>
      <c r="F85" s="7" t="s">
        <v>1064</v>
      </c>
      <c r="G85" s="3"/>
    </row>
    <row r="86" spans="2:7" ht="12.75">
      <c r="B86" s="6" t="s">
        <v>515</v>
      </c>
      <c r="C86" s="6" t="s">
        <v>1060</v>
      </c>
      <c r="D86" s="7" t="s">
        <v>217</v>
      </c>
      <c r="E86" s="7" t="s">
        <v>1065</v>
      </c>
      <c r="F86" s="7" t="s">
        <v>1066</v>
      </c>
      <c r="G86" s="3"/>
    </row>
    <row r="87" ht="12.75">
      <c r="B87" s="6" t="s">
        <v>21</v>
      </c>
    </row>
  </sheetData>
  <sheetProtection/>
  <mergeCells count="23">
    <mergeCell ref="A11:K11"/>
    <mergeCell ref="A1:L2"/>
    <mergeCell ref="A3:A4"/>
    <mergeCell ref="C3:C4"/>
    <mergeCell ref="D3:D4"/>
    <mergeCell ref="E3:E4"/>
    <mergeCell ref="F3:F4"/>
    <mergeCell ref="K3:K4"/>
    <mergeCell ref="G3:G4"/>
    <mergeCell ref="H3:I3"/>
    <mergeCell ref="L3:L4"/>
    <mergeCell ref="A5:K5"/>
    <mergeCell ref="A8:K8"/>
    <mergeCell ref="A66:K66"/>
    <mergeCell ref="A70:K70"/>
    <mergeCell ref="B3:B4"/>
    <mergeCell ref="A19:K19"/>
    <mergeCell ref="A28:K28"/>
    <mergeCell ref="A40:K40"/>
    <mergeCell ref="A49:K49"/>
    <mergeCell ref="A55:K55"/>
    <mergeCell ref="A61:K61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H3" sqref="H3:I3"/>
    </sheetView>
  </sheetViews>
  <sheetFormatPr defaultColWidth="9.125" defaultRowHeight="12.75"/>
  <cols>
    <col min="1" max="1" width="6.75390625" style="7" bestFit="1" customWidth="1"/>
    <col min="2" max="2" width="22.25390625" style="6" bestFit="1" customWidth="1"/>
    <col min="3" max="3" width="28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2.25390625" style="6" bestFit="1" customWidth="1"/>
    <col min="8" max="8" width="10.875" style="7" customWidth="1"/>
    <col min="9" max="9" width="13.75390625" style="28" customWidth="1"/>
    <col min="10" max="10" width="8.125" style="7" bestFit="1" customWidth="1"/>
    <col min="11" max="11" width="9.25390625" style="7" bestFit="1" customWidth="1"/>
    <col min="12" max="12" width="26.25390625" style="6" bestFit="1" customWidth="1"/>
    <col min="13" max="16384" width="9.125" style="3" customWidth="1"/>
  </cols>
  <sheetData>
    <row r="1" spans="1:12" s="2" customFormat="1" ht="28.5" customHeight="1">
      <c r="A1" s="55" t="s">
        <v>1067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2.75" customHeight="1">
      <c r="A3" s="62" t="s">
        <v>0</v>
      </c>
      <c r="B3" s="67" t="s">
        <v>1</v>
      </c>
      <c r="C3" s="64" t="s">
        <v>2</v>
      </c>
      <c r="D3" s="64" t="s">
        <v>3</v>
      </c>
      <c r="E3" s="66" t="s">
        <v>971</v>
      </c>
      <c r="F3" s="66" t="s">
        <v>5</v>
      </c>
      <c r="G3" s="66" t="s">
        <v>6</v>
      </c>
      <c r="H3" s="66" t="s">
        <v>988</v>
      </c>
      <c r="I3" s="66"/>
      <c r="J3" s="66" t="s">
        <v>989</v>
      </c>
      <c r="K3" s="66" t="s">
        <v>8</v>
      </c>
      <c r="L3" s="52" t="s">
        <v>9</v>
      </c>
    </row>
    <row r="4" spans="1:12" s="1" customFormat="1" ht="21" customHeight="1" thickBot="1">
      <c r="A4" s="63"/>
      <c r="B4" s="68"/>
      <c r="C4" s="65"/>
      <c r="D4" s="65"/>
      <c r="E4" s="65"/>
      <c r="F4" s="65"/>
      <c r="G4" s="65"/>
      <c r="H4" s="4" t="s">
        <v>1068</v>
      </c>
      <c r="I4" s="30" t="s">
        <v>991</v>
      </c>
      <c r="J4" s="65"/>
      <c r="K4" s="65"/>
      <c r="L4" s="53"/>
    </row>
    <row r="5" spans="1:11" ht="15">
      <c r="A5" s="54" t="s">
        <v>87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2.75">
      <c r="A6" s="11" t="s">
        <v>23</v>
      </c>
      <c r="B6" s="8" t="s">
        <v>1069</v>
      </c>
      <c r="C6" s="8" t="s">
        <v>1070</v>
      </c>
      <c r="D6" s="8" t="s">
        <v>322</v>
      </c>
      <c r="E6" s="8" t="str">
        <f>"0,7503"</f>
        <v>0,7503</v>
      </c>
      <c r="F6" s="8" t="s">
        <v>13</v>
      </c>
      <c r="G6" s="8" t="s">
        <v>1071</v>
      </c>
      <c r="H6" s="11" t="s">
        <v>85</v>
      </c>
      <c r="I6" s="32" t="s">
        <v>1072</v>
      </c>
      <c r="J6" s="11" t="str">
        <f>"3105,0"</f>
        <v>3105,0</v>
      </c>
      <c r="K6" s="11" t="str">
        <f>"2329,8367"</f>
        <v>2329,8367</v>
      </c>
      <c r="L6" s="8" t="s">
        <v>1073</v>
      </c>
    </row>
    <row r="7" spans="1:12" ht="12.75">
      <c r="A7" s="19" t="s">
        <v>12</v>
      </c>
      <c r="B7" s="16" t="s">
        <v>1074</v>
      </c>
      <c r="C7" s="16" t="s">
        <v>188</v>
      </c>
      <c r="D7" s="16" t="s">
        <v>1075</v>
      </c>
      <c r="E7" s="16" t="str">
        <f>"0,7818"</f>
        <v>0,7818</v>
      </c>
      <c r="F7" s="16" t="s">
        <v>13</v>
      </c>
      <c r="G7" s="16" t="s">
        <v>374</v>
      </c>
      <c r="H7" s="18" t="s">
        <v>64</v>
      </c>
      <c r="I7" s="31"/>
      <c r="J7" s="35">
        <v>0</v>
      </c>
      <c r="K7" s="19" t="str">
        <f>"0,0000"</f>
        <v>0,0000</v>
      </c>
      <c r="L7" s="16" t="s">
        <v>20</v>
      </c>
    </row>
    <row r="8" ht="12.75">
      <c r="B8" s="6" t="s">
        <v>21</v>
      </c>
    </row>
    <row r="9" spans="1:11" ht="15">
      <c r="A9" s="51" t="s">
        <v>96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2" ht="12.75">
      <c r="A10" s="11" t="s">
        <v>23</v>
      </c>
      <c r="B10" s="8" t="s">
        <v>280</v>
      </c>
      <c r="C10" s="8" t="s">
        <v>281</v>
      </c>
      <c r="D10" s="8" t="s">
        <v>279</v>
      </c>
      <c r="E10" s="8" t="str">
        <f>"0,6906"</f>
        <v>0,6906</v>
      </c>
      <c r="F10" s="8" t="s">
        <v>13</v>
      </c>
      <c r="G10" s="8" t="s">
        <v>282</v>
      </c>
      <c r="H10" s="11" t="s">
        <v>15</v>
      </c>
      <c r="I10" s="32" t="s">
        <v>1076</v>
      </c>
      <c r="J10" s="11" t="str">
        <f>"3900,0"</f>
        <v>3900,0</v>
      </c>
      <c r="K10" s="11" t="str">
        <f>"2693,3399"</f>
        <v>2693,3399</v>
      </c>
      <c r="L10" s="8" t="s">
        <v>20</v>
      </c>
    </row>
    <row r="11" spans="1:12" ht="12.75">
      <c r="A11" s="15" t="s">
        <v>47</v>
      </c>
      <c r="B11" s="12" t="s">
        <v>933</v>
      </c>
      <c r="C11" s="12" t="s">
        <v>934</v>
      </c>
      <c r="D11" s="12" t="s">
        <v>980</v>
      </c>
      <c r="E11" s="12" t="str">
        <f>"0,6923"</f>
        <v>0,6923</v>
      </c>
      <c r="F11" s="12" t="s">
        <v>83</v>
      </c>
      <c r="G11" s="12" t="s">
        <v>590</v>
      </c>
      <c r="H11" s="15" t="s">
        <v>15</v>
      </c>
      <c r="I11" s="29" t="s">
        <v>1077</v>
      </c>
      <c r="J11" s="15" t="str">
        <f>"3150,0"</f>
        <v>3150,0</v>
      </c>
      <c r="K11" s="15" t="str">
        <f>"2180,7451"</f>
        <v>2180,7451</v>
      </c>
      <c r="L11" s="12" t="s">
        <v>20</v>
      </c>
    </row>
    <row r="12" spans="1:12" ht="12.75">
      <c r="A12" s="15" t="s">
        <v>74</v>
      </c>
      <c r="B12" s="12" t="s">
        <v>1078</v>
      </c>
      <c r="C12" s="12" t="s">
        <v>1079</v>
      </c>
      <c r="D12" s="12" t="s">
        <v>1080</v>
      </c>
      <c r="E12" s="12" t="str">
        <f>"0,6895"</f>
        <v>0,6895</v>
      </c>
      <c r="F12" s="12" t="s">
        <v>13</v>
      </c>
      <c r="G12" s="12" t="s">
        <v>555</v>
      </c>
      <c r="H12" s="15" t="s">
        <v>15</v>
      </c>
      <c r="I12" s="29" t="s">
        <v>1081</v>
      </c>
      <c r="J12" s="15" t="str">
        <f>"2700,0"</f>
        <v>2700,0</v>
      </c>
      <c r="K12" s="15" t="str">
        <f>"1861,7850"</f>
        <v>1861,7850</v>
      </c>
      <c r="L12" s="12" t="s">
        <v>20</v>
      </c>
    </row>
    <row r="13" spans="1:12" ht="12.75">
      <c r="A13" s="19" t="s">
        <v>75</v>
      </c>
      <c r="B13" s="16" t="s">
        <v>935</v>
      </c>
      <c r="C13" s="16" t="s">
        <v>936</v>
      </c>
      <c r="D13" s="16" t="s">
        <v>937</v>
      </c>
      <c r="E13" s="16" t="str">
        <f>"0,7140"</f>
        <v>0,7140</v>
      </c>
      <c r="F13" s="16" t="s">
        <v>13</v>
      </c>
      <c r="G13" s="16" t="s">
        <v>938</v>
      </c>
      <c r="H13" s="19" t="s">
        <v>86</v>
      </c>
      <c r="I13" s="31" t="s">
        <v>1082</v>
      </c>
      <c r="J13" s="19" t="str">
        <f>"1160,0"</f>
        <v>1160,0</v>
      </c>
      <c r="K13" s="19" t="str">
        <f>"828,2980"</f>
        <v>828,2980</v>
      </c>
      <c r="L13" s="16" t="s">
        <v>939</v>
      </c>
    </row>
    <row r="14" ht="12.75">
      <c r="B14" s="6" t="s">
        <v>21</v>
      </c>
    </row>
    <row r="15" spans="1:11" ht="15">
      <c r="A15" s="51" t="s">
        <v>109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2" ht="12.75">
      <c r="A16" s="11" t="s">
        <v>23</v>
      </c>
      <c r="B16" s="8" t="s">
        <v>1083</v>
      </c>
      <c r="C16" s="8" t="s">
        <v>1084</v>
      </c>
      <c r="D16" s="8" t="s">
        <v>1085</v>
      </c>
      <c r="E16" s="8" t="str">
        <f>"0,6477"</f>
        <v>0,6477</v>
      </c>
      <c r="F16" s="8" t="s">
        <v>13</v>
      </c>
      <c r="G16" s="8" t="s">
        <v>1086</v>
      </c>
      <c r="H16" s="11" t="s">
        <v>16</v>
      </c>
      <c r="I16" s="32" t="s">
        <v>1087</v>
      </c>
      <c r="J16" s="11" t="str">
        <f>"1237,5"</f>
        <v>1237,5</v>
      </c>
      <c r="K16" s="11" t="str">
        <f>"801,4669"</f>
        <v>801,4669</v>
      </c>
      <c r="L16" s="8" t="s">
        <v>1088</v>
      </c>
    </row>
    <row r="17" spans="1:12" ht="12.75">
      <c r="A17" s="15" t="s">
        <v>23</v>
      </c>
      <c r="B17" s="12" t="s">
        <v>1089</v>
      </c>
      <c r="C17" s="12" t="s">
        <v>1090</v>
      </c>
      <c r="D17" s="12" t="s">
        <v>1091</v>
      </c>
      <c r="E17" s="12" t="str">
        <f>"0,6618"</f>
        <v>0,6618</v>
      </c>
      <c r="F17" s="12" t="s">
        <v>13</v>
      </c>
      <c r="G17" s="12" t="s">
        <v>1092</v>
      </c>
      <c r="H17" s="15" t="s">
        <v>24</v>
      </c>
      <c r="I17" s="29" t="s">
        <v>1093</v>
      </c>
      <c r="J17" s="15" t="str">
        <f>"4480,0"</f>
        <v>4480,0</v>
      </c>
      <c r="K17" s="15" t="str">
        <f>"2964,6401"</f>
        <v>2964,6401</v>
      </c>
      <c r="L17" s="12" t="s">
        <v>20</v>
      </c>
    </row>
    <row r="18" spans="1:12" ht="12.75">
      <c r="A18" s="15" t="s">
        <v>47</v>
      </c>
      <c r="B18" s="12" t="s">
        <v>981</v>
      </c>
      <c r="C18" s="12" t="s">
        <v>982</v>
      </c>
      <c r="D18" s="12" t="s">
        <v>291</v>
      </c>
      <c r="E18" s="12" t="str">
        <f>"0,6535"</f>
        <v>0,6535</v>
      </c>
      <c r="F18" s="12" t="s">
        <v>13</v>
      </c>
      <c r="G18" s="12" t="s">
        <v>311</v>
      </c>
      <c r="H18" s="15" t="s">
        <v>16</v>
      </c>
      <c r="I18" s="29" t="s">
        <v>1094</v>
      </c>
      <c r="J18" s="15" t="str">
        <f>"2805,0"</f>
        <v>2805,0</v>
      </c>
      <c r="K18" s="15" t="str">
        <f>"1832,9273"</f>
        <v>1832,9273</v>
      </c>
      <c r="L18" s="12" t="s">
        <v>20</v>
      </c>
    </row>
    <row r="19" spans="1:12" ht="12.75">
      <c r="A19" s="15" t="s">
        <v>74</v>
      </c>
      <c r="B19" s="12" t="s">
        <v>1095</v>
      </c>
      <c r="C19" s="12" t="s">
        <v>1096</v>
      </c>
      <c r="D19" s="12" t="s">
        <v>1097</v>
      </c>
      <c r="E19" s="12" t="str">
        <f>"0,6453"</f>
        <v>0,6453</v>
      </c>
      <c r="F19" s="12" t="s">
        <v>13</v>
      </c>
      <c r="G19" s="12" t="s">
        <v>1098</v>
      </c>
      <c r="H19" s="15" t="s">
        <v>16</v>
      </c>
      <c r="I19" s="29" t="s">
        <v>932</v>
      </c>
      <c r="J19" s="15" t="str">
        <f>"2475,0"</f>
        <v>2475,0</v>
      </c>
      <c r="K19" s="15" t="str">
        <f>"1597,2412"</f>
        <v>1597,2412</v>
      </c>
      <c r="L19" s="12" t="s">
        <v>20</v>
      </c>
    </row>
    <row r="20" spans="1:12" ht="12.75">
      <c r="A20" s="19" t="s">
        <v>12</v>
      </c>
      <c r="B20" s="16" t="s">
        <v>605</v>
      </c>
      <c r="C20" s="16" t="s">
        <v>606</v>
      </c>
      <c r="D20" s="16" t="s">
        <v>300</v>
      </c>
      <c r="E20" s="16" t="str">
        <f>"0,6482"</f>
        <v>0,6482</v>
      </c>
      <c r="F20" s="16" t="s">
        <v>13</v>
      </c>
      <c r="G20" s="16" t="s">
        <v>437</v>
      </c>
      <c r="H20" s="18" t="s">
        <v>16</v>
      </c>
      <c r="I20" s="31"/>
      <c r="J20" s="35">
        <v>0</v>
      </c>
      <c r="K20" s="19" t="str">
        <f>"0,0000"</f>
        <v>0,0000</v>
      </c>
      <c r="L20" s="16" t="s">
        <v>20</v>
      </c>
    </row>
    <row r="21" ht="12.75">
      <c r="B21" s="6" t="s">
        <v>21</v>
      </c>
    </row>
    <row r="22" spans="1:11" ht="15">
      <c r="A22" s="51" t="s">
        <v>153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2" ht="12.75">
      <c r="A23" s="11" t="s">
        <v>23</v>
      </c>
      <c r="B23" s="8" t="s">
        <v>945</v>
      </c>
      <c r="C23" s="8" t="s">
        <v>946</v>
      </c>
      <c r="D23" s="8" t="s">
        <v>154</v>
      </c>
      <c r="E23" s="8" t="str">
        <f>"0,6137"</f>
        <v>0,6137</v>
      </c>
      <c r="F23" s="8" t="s">
        <v>13</v>
      </c>
      <c r="G23" s="8" t="s">
        <v>947</v>
      </c>
      <c r="H23" s="11" t="s">
        <v>39</v>
      </c>
      <c r="I23" s="32" t="s">
        <v>1099</v>
      </c>
      <c r="J23" s="11" t="str">
        <f>"1710,0"</f>
        <v>1710,0</v>
      </c>
      <c r="K23" s="11" t="str">
        <f>"1049,5125"</f>
        <v>1049,5125</v>
      </c>
      <c r="L23" s="8" t="s">
        <v>20</v>
      </c>
    </row>
    <row r="24" spans="1:12" ht="12.75">
      <c r="A24" s="15" t="s">
        <v>47</v>
      </c>
      <c r="B24" s="12" t="s">
        <v>375</v>
      </c>
      <c r="C24" s="12" t="s">
        <v>376</v>
      </c>
      <c r="D24" s="12" t="s">
        <v>377</v>
      </c>
      <c r="E24" s="12" t="str">
        <f>"0,6209"</f>
        <v>0,6209</v>
      </c>
      <c r="F24" s="12" t="s">
        <v>83</v>
      </c>
      <c r="G24" s="12" t="s">
        <v>323</v>
      </c>
      <c r="H24" s="15" t="s">
        <v>39</v>
      </c>
      <c r="I24" s="29" t="s">
        <v>1087</v>
      </c>
      <c r="J24" s="15" t="str">
        <f>"1350,0"</f>
        <v>1350,0</v>
      </c>
      <c r="K24" s="15" t="str">
        <f>"838,2150"</f>
        <v>838,2150</v>
      </c>
      <c r="L24" s="12" t="s">
        <v>20</v>
      </c>
    </row>
    <row r="25" spans="1:12" ht="12.75">
      <c r="A25" s="15" t="s">
        <v>23</v>
      </c>
      <c r="B25" s="12" t="s">
        <v>1100</v>
      </c>
      <c r="C25" s="12" t="s">
        <v>986</v>
      </c>
      <c r="D25" s="12" t="s">
        <v>1101</v>
      </c>
      <c r="E25" s="12" t="str">
        <f>"0,6295"</f>
        <v>0,6295</v>
      </c>
      <c r="F25" s="12" t="s">
        <v>13</v>
      </c>
      <c r="G25" s="12" t="s">
        <v>352</v>
      </c>
      <c r="H25" s="15" t="s">
        <v>454</v>
      </c>
      <c r="I25" s="29" t="s">
        <v>1076</v>
      </c>
      <c r="J25" s="15" t="str">
        <f>"4550,0"</f>
        <v>4550,0</v>
      </c>
      <c r="K25" s="15" t="str">
        <f>"2863,9976"</f>
        <v>2863,9976</v>
      </c>
      <c r="L25" s="12" t="s">
        <v>20</v>
      </c>
    </row>
    <row r="26" spans="1:12" ht="12.75">
      <c r="A26" s="15" t="s">
        <v>47</v>
      </c>
      <c r="B26" s="12" t="s">
        <v>1102</v>
      </c>
      <c r="C26" s="12" t="s">
        <v>1103</v>
      </c>
      <c r="D26" s="12" t="s">
        <v>165</v>
      </c>
      <c r="E26" s="12" t="str">
        <f>"0,6126"</f>
        <v>0,6126</v>
      </c>
      <c r="F26" s="12" t="s">
        <v>13</v>
      </c>
      <c r="G26" s="12" t="s">
        <v>339</v>
      </c>
      <c r="H26" s="15" t="s">
        <v>39</v>
      </c>
      <c r="I26" s="29" t="s">
        <v>1104</v>
      </c>
      <c r="J26" s="15" t="str">
        <f>"3690,0"</f>
        <v>3690,0</v>
      </c>
      <c r="K26" s="15" t="str">
        <f>"2260,4941"</f>
        <v>2260,4941</v>
      </c>
      <c r="L26" s="12" t="s">
        <v>20</v>
      </c>
    </row>
    <row r="27" spans="1:12" ht="12.75">
      <c r="A27" s="15" t="s">
        <v>74</v>
      </c>
      <c r="B27" s="12" t="s">
        <v>949</v>
      </c>
      <c r="C27" s="12" t="s">
        <v>983</v>
      </c>
      <c r="D27" s="12" t="s">
        <v>160</v>
      </c>
      <c r="E27" s="12" t="str">
        <f>"0,6119"</f>
        <v>0,6119</v>
      </c>
      <c r="F27" s="12" t="s">
        <v>83</v>
      </c>
      <c r="G27" s="12" t="s">
        <v>590</v>
      </c>
      <c r="H27" s="15" t="s">
        <v>39</v>
      </c>
      <c r="I27" s="29" t="s">
        <v>1105</v>
      </c>
      <c r="J27" s="15" t="str">
        <f>"2610,0"</f>
        <v>2610,0</v>
      </c>
      <c r="K27" s="15" t="str">
        <f>"1596,9286"</f>
        <v>1596,9286</v>
      </c>
      <c r="L27" s="12" t="s">
        <v>20</v>
      </c>
    </row>
    <row r="28" spans="1:12" ht="12.75">
      <c r="A28" s="15" t="s">
        <v>75</v>
      </c>
      <c r="B28" s="12" t="s">
        <v>1106</v>
      </c>
      <c r="C28" s="12" t="s">
        <v>1107</v>
      </c>
      <c r="D28" s="12" t="s">
        <v>948</v>
      </c>
      <c r="E28" s="12" t="str">
        <f>"0,6173"</f>
        <v>0,6173</v>
      </c>
      <c r="F28" s="12" t="s">
        <v>13</v>
      </c>
      <c r="G28" s="12" t="s">
        <v>339</v>
      </c>
      <c r="H28" s="15" t="s">
        <v>39</v>
      </c>
      <c r="I28" s="29" t="s">
        <v>1108</v>
      </c>
      <c r="J28" s="15" t="str">
        <f>"2160,0"</f>
        <v>2160,0</v>
      </c>
      <c r="K28" s="15" t="str">
        <f>"1333,3679"</f>
        <v>1333,3679</v>
      </c>
      <c r="L28" s="12" t="s">
        <v>1109</v>
      </c>
    </row>
    <row r="29" spans="1:12" ht="12.75">
      <c r="A29" s="15" t="s">
        <v>23</v>
      </c>
      <c r="B29" s="12" t="s">
        <v>949</v>
      </c>
      <c r="C29" s="12" t="s">
        <v>1110</v>
      </c>
      <c r="D29" s="12" t="s">
        <v>160</v>
      </c>
      <c r="E29" s="12" t="str">
        <f>"0,6119"</f>
        <v>0,6119</v>
      </c>
      <c r="F29" s="12" t="s">
        <v>83</v>
      </c>
      <c r="G29" s="12" t="s">
        <v>590</v>
      </c>
      <c r="H29" s="15" t="s">
        <v>39</v>
      </c>
      <c r="I29" s="29" t="s">
        <v>1105</v>
      </c>
      <c r="J29" s="15" t="str">
        <f>"2610,0"</f>
        <v>2610,0</v>
      </c>
      <c r="K29" s="15" t="str">
        <f>"1684,7596"</f>
        <v>1684,7596</v>
      </c>
      <c r="L29" s="12" t="s">
        <v>20</v>
      </c>
    </row>
    <row r="30" spans="1:12" ht="12.75">
      <c r="A30" s="19" t="s">
        <v>23</v>
      </c>
      <c r="B30" s="16" t="s">
        <v>1111</v>
      </c>
      <c r="C30" s="16" t="s">
        <v>1112</v>
      </c>
      <c r="D30" s="16" t="s">
        <v>1113</v>
      </c>
      <c r="E30" s="16" t="str">
        <f>"0,6310"</f>
        <v>0,6310</v>
      </c>
      <c r="F30" s="16" t="s">
        <v>13</v>
      </c>
      <c r="G30" s="16" t="s">
        <v>1114</v>
      </c>
      <c r="H30" s="19" t="s">
        <v>454</v>
      </c>
      <c r="I30" s="31" t="s">
        <v>1108</v>
      </c>
      <c r="J30" s="19" t="str">
        <f>"2100,0"</f>
        <v>2100,0</v>
      </c>
      <c r="K30" s="19" t="str">
        <f>"1497,4224"</f>
        <v>1497,4224</v>
      </c>
      <c r="L30" s="16" t="s">
        <v>20</v>
      </c>
    </row>
    <row r="31" ht="12.75">
      <c r="B31" s="6" t="s">
        <v>21</v>
      </c>
    </row>
    <row r="32" spans="1:11" ht="15">
      <c r="A32" s="51" t="s">
        <v>172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2" ht="12.75">
      <c r="A33" s="11" t="s">
        <v>23</v>
      </c>
      <c r="B33" s="8" t="s">
        <v>1115</v>
      </c>
      <c r="C33" s="8" t="s">
        <v>1116</v>
      </c>
      <c r="D33" s="8" t="s">
        <v>1117</v>
      </c>
      <c r="E33" s="8" t="str">
        <f>"0,6090"</f>
        <v>0,6090</v>
      </c>
      <c r="F33" s="8" t="s">
        <v>13</v>
      </c>
      <c r="G33" s="8" t="s">
        <v>167</v>
      </c>
      <c r="H33" s="11" t="s">
        <v>29</v>
      </c>
      <c r="I33" s="32" t="s">
        <v>1118</v>
      </c>
      <c r="J33" s="11" t="str">
        <f>"2867,5"</f>
        <v>2867,5</v>
      </c>
      <c r="K33" s="11" t="str">
        <f>"1746,1642"</f>
        <v>1746,1642</v>
      </c>
      <c r="L33" s="8" t="s">
        <v>20</v>
      </c>
    </row>
    <row r="34" spans="1:12" ht="12.75">
      <c r="A34" s="15" t="s">
        <v>23</v>
      </c>
      <c r="B34" s="12" t="s">
        <v>951</v>
      </c>
      <c r="C34" s="12" t="s">
        <v>952</v>
      </c>
      <c r="D34" s="12" t="s">
        <v>184</v>
      </c>
      <c r="E34" s="12" t="str">
        <f>"0,5848"</f>
        <v>0,5848</v>
      </c>
      <c r="F34" s="12" t="s">
        <v>83</v>
      </c>
      <c r="G34" s="12" t="s">
        <v>84</v>
      </c>
      <c r="H34" s="15" t="s">
        <v>34</v>
      </c>
      <c r="I34" s="29" t="s">
        <v>33</v>
      </c>
      <c r="J34" s="15" t="str">
        <f>"4000,0"</f>
        <v>4000,0</v>
      </c>
      <c r="K34" s="15" t="str">
        <f>"2339,2000"</f>
        <v>2339,2000</v>
      </c>
      <c r="L34" s="12" t="s">
        <v>20</v>
      </c>
    </row>
    <row r="35" spans="1:12" ht="12.75">
      <c r="A35" s="15" t="s">
        <v>47</v>
      </c>
      <c r="B35" s="12" t="s">
        <v>1119</v>
      </c>
      <c r="C35" s="12" t="s">
        <v>1120</v>
      </c>
      <c r="D35" s="12" t="s">
        <v>954</v>
      </c>
      <c r="E35" s="12" t="str">
        <f>"0,6029"</f>
        <v>0,6029</v>
      </c>
      <c r="F35" s="12" t="s">
        <v>13</v>
      </c>
      <c r="G35" s="12" t="s">
        <v>352</v>
      </c>
      <c r="H35" s="15" t="s">
        <v>29</v>
      </c>
      <c r="I35" s="29" t="s">
        <v>1121</v>
      </c>
      <c r="J35" s="15" t="str">
        <f>"2960,0"</f>
        <v>2960,0</v>
      </c>
      <c r="K35" s="15" t="str">
        <f>"1784,7319"</f>
        <v>1784,7319</v>
      </c>
      <c r="L35" s="12" t="s">
        <v>20</v>
      </c>
    </row>
    <row r="36" spans="1:12" ht="12.75">
      <c r="A36" s="15" t="s">
        <v>74</v>
      </c>
      <c r="B36" s="12" t="s">
        <v>1122</v>
      </c>
      <c r="C36" s="12" t="s">
        <v>1123</v>
      </c>
      <c r="D36" s="12" t="s">
        <v>1037</v>
      </c>
      <c r="E36" s="12" t="str">
        <f>"0,5901"</f>
        <v>0,5901</v>
      </c>
      <c r="F36" s="12" t="s">
        <v>13</v>
      </c>
      <c r="G36" s="12" t="s">
        <v>379</v>
      </c>
      <c r="H36" s="15" t="s">
        <v>40</v>
      </c>
      <c r="I36" s="29" t="s">
        <v>1118</v>
      </c>
      <c r="J36" s="15" t="str">
        <f>"3022,5"</f>
        <v>3022,5</v>
      </c>
      <c r="K36" s="15" t="str">
        <f>"1783,5017"</f>
        <v>1783,5017</v>
      </c>
      <c r="L36" s="12" t="s">
        <v>20</v>
      </c>
    </row>
    <row r="37" spans="1:12" ht="12.75">
      <c r="A37" s="15" t="s">
        <v>23</v>
      </c>
      <c r="B37" s="12" t="s">
        <v>1122</v>
      </c>
      <c r="C37" s="12" t="s">
        <v>1124</v>
      </c>
      <c r="D37" s="12" t="s">
        <v>1037</v>
      </c>
      <c r="E37" s="12" t="str">
        <f>"0,5901"</f>
        <v>0,5901</v>
      </c>
      <c r="F37" s="12" t="s">
        <v>13</v>
      </c>
      <c r="G37" s="12" t="s">
        <v>379</v>
      </c>
      <c r="H37" s="15" t="s">
        <v>40</v>
      </c>
      <c r="I37" s="29" t="s">
        <v>1118</v>
      </c>
      <c r="J37" s="15" t="str">
        <f>"3022,5"</f>
        <v>3022,5</v>
      </c>
      <c r="K37" s="15" t="str">
        <f>"1838,7903"</f>
        <v>1838,7903</v>
      </c>
      <c r="L37" s="12" t="s">
        <v>20</v>
      </c>
    </row>
    <row r="38" spans="1:12" ht="12.75">
      <c r="A38" s="15" t="s">
        <v>47</v>
      </c>
      <c r="B38" s="12" t="s">
        <v>956</v>
      </c>
      <c r="C38" s="12" t="s">
        <v>1125</v>
      </c>
      <c r="D38" s="12" t="s">
        <v>1126</v>
      </c>
      <c r="E38" s="12" t="str">
        <f>"0,5819"</f>
        <v>0,5819</v>
      </c>
      <c r="F38" s="12" t="s">
        <v>13</v>
      </c>
      <c r="G38" s="12" t="s">
        <v>950</v>
      </c>
      <c r="H38" s="15" t="s">
        <v>34</v>
      </c>
      <c r="I38" s="29" t="s">
        <v>1105</v>
      </c>
      <c r="J38" s="15" t="str">
        <f>"2900,0"</f>
        <v>2900,0</v>
      </c>
      <c r="K38" s="15" t="str">
        <f>"1721,3341"</f>
        <v>1721,3341</v>
      </c>
      <c r="L38" s="12" t="s">
        <v>20</v>
      </c>
    </row>
    <row r="39" spans="1:12" ht="12.75">
      <c r="A39" s="19" t="s">
        <v>74</v>
      </c>
      <c r="B39" s="16" t="s">
        <v>957</v>
      </c>
      <c r="C39" s="16" t="s">
        <v>1127</v>
      </c>
      <c r="D39" s="16" t="s">
        <v>955</v>
      </c>
      <c r="E39" s="16" t="str">
        <f>"0,5813"</f>
        <v>0,5813</v>
      </c>
      <c r="F39" s="16" t="s">
        <v>83</v>
      </c>
      <c r="G39" s="16" t="s">
        <v>590</v>
      </c>
      <c r="H39" s="19" t="s">
        <v>34</v>
      </c>
      <c r="I39" s="31" t="s">
        <v>931</v>
      </c>
      <c r="J39" s="19" t="str">
        <f>"2500,0"</f>
        <v>2500,0</v>
      </c>
      <c r="K39" s="19" t="str">
        <f>"1515,7398"</f>
        <v>1515,7398</v>
      </c>
      <c r="L39" s="16" t="s">
        <v>20</v>
      </c>
    </row>
    <row r="40" ht="12.75">
      <c r="B40" s="6" t="s">
        <v>21</v>
      </c>
    </row>
    <row r="41" spans="1:11" ht="15">
      <c r="A41" s="51" t="s">
        <v>185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2" ht="12.75">
      <c r="A42" s="11" t="s">
        <v>23</v>
      </c>
      <c r="B42" s="8" t="s">
        <v>958</v>
      </c>
      <c r="C42" s="8" t="s">
        <v>959</v>
      </c>
      <c r="D42" s="8" t="s">
        <v>960</v>
      </c>
      <c r="E42" s="8" t="str">
        <f>"0,5703"</f>
        <v>0,5703</v>
      </c>
      <c r="F42" s="8" t="s">
        <v>83</v>
      </c>
      <c r="G42" s="8" t="s">
        <v>84</v>
      </c>
      <c r="H42" s="11" t="s">
        <v>69</v>
      </c>
      <c r="I42" s="32" t="s">
        <v>1118</v>
      </c>
      <c r="J42" s="11" t="str">
        <f>"3332,5"</f>
        <v>3332,5</v>
      </c>
      <c r="K42" s="11" t="str">
        <f>"1900,5247"</f>
        <v>1900,5247</v>
      </c>
      <c r="L42" s="8" t="s">
        <v>961</v>
      </c>
    </row>
    <row r="43" spans="1:12" ht="12.75">
      <c r="A43" s="15" t="s">
        <v>23</v>
      </c>
      <c r="B43" s="12" t="s">
        <v>1128</v>
      </c>
      <c r="C43" s="12" t="s">
        <v>1129</v>
      </c>
      <c r="D43" s="12" t="s">
        <v>1130</v>
      </c>
      <c r="E43" s="12" t="str">
        <f>"0,5769"</f>
        <v>0,5769</v>
      </c>
      <c r="F43" s="12" t="s">
        <v>13</v>
      </c>
      <c r="G43" s="12" t="s">
        <v>1131</v>
      </c>
      <c r="H43" s="15" t="s">
        <v>55</v>
      </c>
      <c r="I43" s="29" t="s">
        <v>1104</v>
      </c>
      <c r="J43" s="15" t="str">
        <f>"4202,5"</f>
        <v>4202,5</v>
      </c>
      <c r="K43" s="15" t="str">
        <f>"2424,4223"</f>
        <v>2424,4223</v>
      </c>
      <c r="L43" s="12" t="s">
        <v>20</v>
      </c>
    </row>
    <row r="44" spans="1:12" ht="12.75">
      <c r="A44" s="15" t="s">
        <v>47</v>
      </c>
      <c r="B44" s="12" t="s">
        <v>1132</v>
      </c>
      <c r="C44" s="12" t="s">
        <v>1133</v>
      </c>
      <c r="D44" s="12" t="s">
        <v>1134</v>
      </c>
      <c r="E44" s="12" t="str">
        <f>"0,5690"</f>
        <v>0,5690</v>
      </c>
      <c r="F44" s="12" t="s">
        <v>13</v>
      </c>
      <c r="G44" s="12" t="s">
        <v>1114</v>
      </c>
      <c r="H44" s="15" t="s">
        <v>69</v>
      </c>
      <c r="I44" s="29" t="s">
        <v>1135</v>
      </c>
      <c r="J44" s="15" t="str">
        <f>"4085,0"</f>
        <v>4085,0</v>
      </c>
      <c r="K44" s="15" t="str">
        <f>"2324,3650"</f>
        <v>2324,3650</v>
      </c>
      <c r="L44" s="12" t="s">
        <v>20</v>
      </c>
    </row>
    <row r="45" spans="1:12" ht="12.75">
      <c r="A45" s="15" t="s">
        <v>74</v>
      </c>
      <c r="B45" s="12" t="s">
        <v>1136</v>
      </c>
      <c r="C45" s="12" t="s">
        <v>1137</v>
      </c>
      <c r="D45" s="12" t="s">
        <v>1138</v>
      </c>
      <c r="E45" s="12" t="str">
        <f>"0,5625"</f>
        <v>0,5625</v>
      </c>
      <c r="F45" s="12" t="s">
        <v>13</v>
      </c>
      <c r="G45" s="12" t="s">
        <v>247</v>
      </c>
      <c r="H45" s="15" t="s">
        <v>36</v>
      </c>
      <c r="I45" s="29" t="s">
        <v>1139</v>
      </c>
      <c r="J45" s="15" t="str">
        <f>"2860,0"</f>
        <v>2860,0</v>
      </c>
      <c r="K45" s="15" t="str">
        <f>"1608,7500"</f>
        <v>1608,7500</v>
      </c>
      <c r="L45" s="12" t="s">
        <v>20</v>
      </c>
    </row>
    <row r="46" spans="1:12" ht="12.75">
      <c r="A46" s="15" t="s">
        <v>75</v>
      </c>
      <c r="B46" s="12" t="s">
        <v>1140</v>
      </c>
      <c r="C46" s="12" t="s">
        <v>1141</v>
      </c>
      <c r="D46" s="12" t="s">
        <v>1142</v>
      </c>
      <c r="E46" s="12" t="str">
        <f>"0,5810"</f>
        <v>0,5810</v>
      </c>
      <c r="F46" s="12" t="s">
        <v>13</v>
      </c>
      <c r="G46" s="12" t="s">
        <v>334</v>
      </c>
      <c r="H46" s="15" t="s">
        <v>55</v>
      </c>
      <c r="I46" s="29" t="s">
        <v>931</v>
      </c>
      <c r="J46" s="15" t="str">
        <f>"2562,5"</f>
        <v>2562,5</v>
      </c>
      <c r="K46" s="15" t="str">
        <f>"1488,9406"</f>
        <v>1488,9406</v>
      </c>
      <c r="L46" s="12" t="s">
        <v>1143</v>
      </c>
    </row>
    <row r="47" spans="1:12" ht="12.75">
      <c r="A47" s="15" t="s">
        <v>23</v>
      </c>
      <c r="B47" s="12" t="s">
        <v>191</v>
      </c>
      <c r="C47" s="12" t="s">
        <v>1038</v>
      </c>
      <c r="D47" s="12" t="s">
        <v>193</v>
      </c>
      <c r="E47" s="12" t="str">
        <f>"0,5664"</f>
        <v>0,5664</v>
      </c>
      <c r="F47" s="12" t="s">
        <v>13</v>
      </c>
      <c r="G47" s="12" t="s">
        <v>194</v>
      </c>
      <c r="H47" s="15" t="s">
        <v>69</v>
      </c>
      <c r="I47" s="29" t="s">
        <v>1144</v>
      </c>
      <c r="J47" s="15" t="str">
        <f>"2257,5"</f>
        <v>2257,5</v>
      </c>
      <c r="K47" s="15" t="str">
        <f>"1318,4025"</f>
        <v>1318,4025</v>
      </c>
      <c r="L47" s="12" t="s">
        <v>20</v>
      </c>
    </row>
    <row r="48" spans="1:12" ht="12.75">
      <c r="A48" s="19" t="s">
        <v>23</v>
      </c>
      <c r="B48" s="16" t="s">
        <v>962</v>
      </c>
      <c r="C48" s="16" t="s">
        <v>1145</v>
      </c>
      <c r="D48" s="16" t="s">
        <v>963</v>
      </c>
      <c r="E48" s="16" t="str">
        <f>"0,5695"</f>
        <v>0,5695</v>
      </c>
      <c r="F48" s="16" t="s">
        <v>13</v>
      </c>
      <c r="G48" s="16" t="s">
        <v>1146</v>
      </c>
      <c r="H48" s="19" t="s">
        <v>69</v>
      </c>
      <c r="I48" s="31" t="s">
        <v>1087</v>
      </c>
      <c r="J48" s="19" t="str">
        <f>"1612,5"</f>
        <v>1612,5</v>
      </c>
      <c r="K48" s="19" t="str">
        <f>"1331,6790"</f>
        <v>1331,6790</v>
      </c>
      <c r="L48" s="16" t="s">
        <v>20</v>
      </c>
    </row>
    <row r="49" ht="12.75">
      <c r="B49" s="6" t="s">
        <v>21</v>
      </c>
    </row>
    <row r="50" spans="1:11" ht="15">
      <c r="A50" s="51" t="s">
        <v>196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2" ht="12.75">
      <c r="A51" s="11" t="s">
        <v>23</v>
      </c>
      <c r="B51" s="8" t="s">
        <v>340</v>
      </c>
      <c r="C51" s="8" t="s">
        <v>341</v>
      </c>
      <c r="D51" s="8" t="s">
        <v>342</v>
      </c>
      <c r="E51" s="8" t="str">
        <f>"0,5573"</f>
        <v>0,5573</v>
      </c>
      <c r="F51" s="8" t="s">
        <v>83</v>
      </c>
      <c r="G51" s="8" t="s">
        <v>84</v>
      </c>
      <c r="H51" s="11" t="s">
        <v>73</v>
      </c>
      <c r="I51" s="32" t="s">
        <v>1147</v>
      </c>
      <c r="J51" s="11" t="str">
        <f>"4485,0"</f>
        <v>4485,0</v>
      </c>
      <c r="K51" s="11" t="str">
        <f>"2499,7147"</f>
        <v>2499,7147</v>
      </c>
      <c r="L51" s="8" t="s">
        <v>20</v>
      </c>
    </row>
    <row r="52" spans="1:12" ht="12.75">
      <c r="A52" s="15" t="s">
        <v>47</v>
      </c>
      <c r="B52" s="12" t="s">
        <v>1148</v>
      </c>
      <c r="C52" s="12" t="s">
        <v>1149</v>
      </c>
      <c r="D52" s="12" t="s">
        <v>1150</v>
      </c>
      <c r="E52" s="12" t="str">
        <f>"0,5623"</f>
        <v>0,5623</v>
      </c>
      <c r="F52" s="12" t="s">
        <v>13</v>
      </c>
      <c r="G52" s="12" t="s">
        <v>167</v>
      </c>
      <c r="H52" s="15" t="s">
        <v>51</v>
      </c>
      <c r="I52" s="29" t="s">
        <v>26</v>
      </c>
      <c r="J52" s="15" t="str">
        <f>"3937,5"</f>
        <v>3937,5</v>
      </c>
      <c r="K52" s="15" t="str">
        <f>"2214,2530"</f>
        <v>2214,2530</v>
      </c>
      <c r="L52" s="12" t="s">
        <v>20</v>
      </c>
    </row>
    <row r="53" spans="1:12" ht="12.75">
      <c r="A53" s="15" t="s">
        <v>74</v>
      </c>
      <c r="B53" s="12" t="s">
        <v>1151</v>
      </c>
      <c r="C53" s="12" t="s">
        <v>1152</v>
      </c>
      <c r="D53" s="12" t="s">
        <v>1153</v>
      </c>
      <c r="E53" s="12" t="str">
        <f>"0,5595"</f>
        <v>0,5595</v>
      </c>
      <c r="F53" s="12" t="s">
        <v>135</v>
      </c>
      <c r="G53" s="12" t="s">
        <v>1154</v>
      </c>
      <c r="H53" s="15" t="s">
        <v>51</v>
      </c>
      <c r="I53" s="29" t="s">
        <v>932</v>
      </c>
      <c r="J53" s="15" t="str">
        <f>"3375,0"</f>
        <v>3375,0</v>
      </c>
      <c r="K53" s="15" t="str">
        <f>"1888,3124"</f>
        <v>1888,3124</v>
      </c>
      <c r="L53" s="12" t="s">
        <v>20</v>
      </c>
    </row>
    <row r="54" spans="1:12" ht="12.75">
      <c r="A54" s="15" t="s">
        <v>75</v>
      </c>
      <c r="B54" s="12" t="s">
        <v>964</v>
      </c>
      <c r="C54" s="12" t="s">
        <v>965</v>
      </c>
      <c r="D54" s="12" t="s">
        <v>345</v>
      </c>
      <c r="E54" s="12" t="str">
        <f>"0,5479"</f>
        <v>0,5479</v>
      </c>
      <c r="F54" s="12" t="s">
        <v>802</v>
      </c>
      <c r="G54" s="12" t="s">
        <v>14</v>
      </c>
      <c r="H54" s="15" t="s">
        <v>58</v>
      </c>
      <c r="I54" s="29" t="s">
        <v>1139</v>
      </c>
      <c r="J54" s="15" t="str">
        <f>"3250,0"</f>
        <v>3250,0</v>
      </c>
      <c r="K54" s="15" t="str">
        <f>"1780,6751"</f>
        <v>1780,6751</v>
      </c>
      <c r="L54" s="12" t="s">
        <v>20</v>
      </c>
    </row>
    <row r="55" spans="1:12" ht="12.75">
      <c r="A55" s="15" t="s">
        <v>95</v>
      </c>
      <c r="B55" s="12" t="s">
        <v>966</v>
      </c>
      <c r="C55" s="12" t="s">
        <v>967</v>
      </c>
      <c r="D55" s="12" t="s">
        <v>968</v>
      </c>
      <c r="E55" s="12" t="str">
        <f>"0,5509"</f>
        <v>0,5509</v>
      </c>
      <c r="F55" s="12" t="s">
        <v>13</v>
      </c>
      <c r="G55" s="12" t="s">
        <v>969</v>
      </c>
      <c r="H55" s="15" t="s">
        <v>53</v>
      </c>
      <c r="I55" s="29" t="s">
        <v>1139</v>
      </c>
      <c r="J55" s="15" t="str">
        <f>"3120,0"</f>
        <v>3120,0</v>
      </c>
      <c r="K55" s="15" t="str">
        <f>"1718,9640"</f>
        <v>1718,9640</v>
      </c>
      <c r="L55" s="12" t="s">
        <v>953</v>
      </c>
    </row>
    <row r="56" spans="1:12" ht="12.75">
      <c r="A56" s="15" t="s">
        <v>190</v>
      </c>
      <c r="B56" s="12" t="s">
        <v>1155</v>
      </c>
      <c r="C56" s="12" t="s">
        <v>1156</v>
      </c>
      <c r="D56" s="12" t="s">
        <v>1157</v>
      </c>
      <c r="E56" s="12" t="str">
        <f>"0,5591"</f>
        <v>0,5591</v>
      </c>
      <c r="F56" s="12" t="s">
        <v>13</v>
      </c>
      <c r="G56" s="12" t="s">
        <v>137</v>
      </c>
      <c r="H56" s="15" t="s">
        <v>51</v>
      </c>
      <c r="I56" s="29" t="s">
        <v>1108</v>
      </c>
      <c r="J56" s="15" t="str">
        <f>"2700,0"</f>
        <v>2700,0</v>
      </c>
      <c r="K56" s="15" t="str">
        <f>"1509,7049"</f>
        <v>1509,7049</v>
      </c>
      <c r="L56" s="12" t="s">
        <v>20</v>
      </c>
    </row>
    <row r="57" spans="1:12" ht="12.75">
      <c r="A57" s="19" t="s">
        <v>23</v>
      </c>
      <c r="B57" s="16" t="s">
        <v>964</v>
      </c>
      <c r="C57" s="16" t="s">
        <v>1158</v>
      </c>
      <c r="D57" s="16" t="s">
        <v>345</v>
      </c>
      <c r="E57" s="16" t="str">
        <f>"0,5479"</f>
        <v>0,5479</v>
      </c>
      <c r="F57" s="16" t="s">
        <v>802</v>
      </c>
      <c r="G57" s="16" t="s">
        <v>14</v>
      </c>
      <c r="H57" s="19" t="s">
        <v>58</v>
      </c>
      <c r="I57" s="31" t="s">
        <v>1139</v>
      </c>
      <c r="J57" s="19" t="str">
        <f>"3250,0"</f>
        <v>3250,0</v>
      </c>
      <c r="K57" s="19" t="str">
        <f>"1878,6122"</f>
        <v>1878,6122</v>
      </c>
      <c r="L57" s="16" t="s">
        <v>20</v>
      </c>
    </row>
    <row r="58" ht="12.75">
      <c r="B58" s="6" t="s">
        <v>21</v>
      </c>
    </row>
    <row r="59" spans="2:6" ht="15">
      <c r="B59" s="6" t="s">
        <v>21</v>
      </c>
      <c r="F59" s="24"/>
    </row>
    <row r="60" ht="12.75">
      <c r="B60" s="6" t="s">
        <v>21</v>
      </c>
    </row>
    <row r="61" spans="2:7" ht="18">
      <c r="B61" s="25" t="s">
        <v>210</v>
      </c>
      <c r="C61" s="25"/>
      <c r="G61" s="3"/>
    </row>
    <row r="62" spans="2:7" ht="14.25">
      <c r="B62" s="27"/>
      <c r="C62" s="27" t="s">
        <v>212</v>
      </c>
      <c r="G62" s="3"/>
    </row>
    <row r="63" spans="2:7" ht="15">
      <c r="B63" s="5" t="s">
        <v>213</v>
      </c>
      <c r="C63" s="5" t="s">
        <v>214</v>
      </c>
      <c r="D63" s="5" t="s">
        <v>215</v>
      </c>
      <c r="E63" s="5" t="s">
        <v>989</v>
      </c>
      <c r="F63" s="5" t="s">
        <v>979</v>
      </c>
      <c r="G63" s="3"/>
    </row>
    <row r="64" spans="2:7" ht="12.75">
      <c r="B64" s="6" t="s">
        <v>1089</v>
      </c>
      <c r="C64" s="6" t="s">
        <v>212</v>
      </c>
      <c r="D64" s="7" t="s">
        <v>228</v>
      </c>
      <c r="E64" s="7" t="s">
        <v>1159</v>
      </c>
      <c r="F64" s="7" t="s">
        <v>1160</v>
      </c>
      <c r="G64" s="3"/>
    </row>
    <row r="65" spans="2:7" ht="12.75">
      <c r="B65" s="6" t="s">
        <v>1100</v>
      </c>
      <c r="C65" s="6" t="s">
        <v>212</v>
      </c>
      <c r="D65" s="7" t="s">
        <v>227</v>
      </c>
      <c r="E65" s="7" t="s">
        <v>1161</v>
      </c>
      <c r="F65" s="7" t="s">
        <v>1162</v>
      </c>
      <c r="G65" s="3"/>
    </row>
    <row r="66" spans="2:7" ht="12.75">
      <c r="B66" s="6" t="s">
        <v>280</v>
      </c>
      <c r="C66" s="6" t="s">
        <v>212</v>
      </c>
      <c r="D66" s="7" t="s">
        <v>220</v>
      </c>
      <c r="E66" s="7" t="s">
        <v>1163</v>
      </c>
      <c r="F66" s="7" t="s">
        <v>1164</v>
      </c>
      <c r="G66" s="3"/>
    </row>
    <row r="67" ht="12.75">
      <c r="G67" s="3"/>
    </row>
    <row r="68" spans="2:7" ht="14.25">
      <c r="B68" s="27"/>
      <c r="C68" s="27" t="s">
        <v>219</v>
      </c>
      <c r="G68" s="3"/>
    </row>
    <row r="69" spans="2:7" ht="15">
      <c r="B69" s="5" t="s">
        <v>213</v>
      </c>
      <c r="C69" s="5" t="s">
        <v>214</v>
      </c>
      <c r="D69" s="5" t="s">
        <v>215</v>
      </c>
      <c r="E69" s="5" t="s">
        <v>989</v>
      </c>
      <c r="F69" s="5" t="s">
        <v>979</v>
      </c>
      <c r="G69" s="3"/>
    </row>
    <row r="70" spans="2:7" ht="12.75">
      <c r="B70" s="6" t="s">
        <v>964</v>
      </c>
      <c r="C70" s="6" t="s">
        <v>1062</v>
      </c>
      <c r="D70" s="7" t="s">
        <v>350</v>
      </c>
      <c r="E70" s="7" t="s">
        <v>1165</v>
      </c>
      <c r="F70" s="7" t="s">
        <v>1166</v>
      </c>
      <c r="G70" s="3"/>
    </row>
    <row r="71" spans="2:7" ht="12.75">
      <c r="B71" s="6" t="s">
        <v>1122</v>
      </c>
      <c r="C71" s="6" t="s">
        <v>1062</v>
      </c>
      <c r="D71" s="7" t="s">
        <v>226</v>
      </c>
      <c r="E71" s="7" t="s">
        <v>1167</v>
      </c>
      <c r="F71" s="7" t="s">
        <v>1168</v>
      </c>
      <c r="G71" s="3"/>
    </row>
    <row r="72" spans="2:7" ht="12.75">
      <c r="B72" s="6" t="s">
        <v>956</v>
      </c>
      <c r="C72" s="6" t="s">
        <v>1062</v>
      </c>
      <c r="D72" s="7" t="s">
        <v>226</v>
      </c>
      <c r="E72" s="7" t="s">
        <v>1169</v>
      </c>
      <c r="F72" s="7" t="s">
        <v>1170</v>
      </c>
      <c r="G72" s="3"/>
    </row>
    <row r="73" ht="12.75">
      <c r="B73" s="6" t="s">
        <v>21</v>
      </c>
    </row>
  </sheetData>
  <sheetProtection/>
  <mergeCells count="19">
    <mergeCell ref="A1:L2"/>
    <mergeCell ref="H3:I3"/>
    <mergeCell ref="A3:A4"/>
    <mergeCell ref="C3:C4"/>
    <mergeCell ref="D3:D4"/>
    <mergeCell ref="L3:L4"/>
    <mergeCell ref="G3:G4"/>
    <mergeCell ref="F3:F4"/>
    <mergeCell ref="K3:K4"/>
    <mergeCell ref="A41:K41"/>
    <mergeCell ref="A50:K50"/>
    <mergeCell ref="B3:B4"/>
    <mergeCell ref="A5:K5"/>
    <mergeCell ref="A9:K9"/>
    <mergeCell ref="A15:K15"/>
    <mergeCell ref="A22:K22"/>
    <mergeCell ref="A32:K32"/>
    <mergeCell ref="E3:E4"/>
    <mergeCell ref="J3:J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8" sqref="H8"/>
    </sheetView>
  </sheetViews>
  <sheetFormatPr defaultColWidth="9.125" defaultRowHeight="12.75"/>
  <cols>
    <col min="1" max="1" width="6.75390625" style="7" bestFit="1" customWidth="1"/>
    <col min="2" max="2" width="22.00390625" style="6" customWidth="1"/>
    <col min="3" max="3" width="28.253906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2.125" style="6" customWidth="1"/>
    <col min="8" max="8" width="11.125" style="7" customWidth="1"/>
    <col min="9" max="9" width="13.00390625" style="28" customWidth="1"/>
    <col min="10" max="10" width="8.125" style="7" bestFit="1" customWidth="1"/>
    <col min="11" max="11" width="9.25390625" style="7" bestFit="1" customWidth="1"/>
    <col min="12" max="12" width="27.25390625" style="6" customWidth="1"/>
    <col min="13" max="16384" width="9.125" style="3" customWidth="1"/>
  </cols>
  <sheetData>
    <row r="1" spans="1:12" s="2" customFormat="1" ht="28.5" customHeight="1">
      <c r="A1" s="55" t="s">
        <v>1171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2.75" customHeight="1">
      <c r="A3" s="62" t="s">
        <v>0</v>
      </c>
      <c r="B3" s="67" t="s">
        <v>1</v>
      </c>
      <c r="C3" s="64" t="s">
        <v>2</v>
      </c>
      <c r="D3" s="64" t="s">
        <v>3</v>
      </c>
      <c r="E3" s="66" t="s">
        <v>971</v>
      </c>
      <c r="F3" s="66" t="s">
        <v>5</v>
      </c>
      <c r="G3" s="66" t="s">
        <v>6</v>
      </c>
      <c r="H3" s="66" t="s">
        <v>988</v>
      </c>
      <c r="I3" s="66"/>
      <c r="J3" s="66" t="s">
        <v>989</v>
      </c>
      <c r="K3" s="66" t="s">
        <v>8</v>
      </c>
      <c r="L3" s="52" t="s">
        <v>9</v>
      </c>
    </row>
    <row r="4" spans="1:12" s="1" customFormat="1" ht="21" customHeight="1" thickBot="1">
      <c r="A4" s="63"/>
      <c r="B4" s="68"/>
      <c r="C4" s="65"/>
      <c r="D4" s="65"/>
      <c r="E4" s="65"/>
      <c r="F4" s="65"/>
      <c r="G4" s="65"/>
      <c r="H4" s="4" t="s">
        <v>1068</v>
      </c>
      <c r="I4" s="30" t="s">
        <v>991</v>
      </c>
      <c r="J4" s="65"/>
      <c r="K4" s="65"/>
      <c r="L4" s="53"/>
    </row>
    <row r="5" spans="1:11" ht="15">
      <c r="A5" s="54" t="s">
        <v>60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2.75">
      <c r="A6" s="11" t="s">
        <v>23</v>
      </c>
      <c r="B6" s="8" t="s">
        <v>76</v>
      </c>
      <c r="C6" s="8" t="s">
        <v>77</v>
      </c>
      <c r="D6" s="8" t="s">
        <v>78</v>
      </c>
      <c r="E6" s="8" t="str">
        <f>"1,0120"</f>
        <v>1,0120</v>
      </c>
      <c r="F6" s="8" t="s">
        <v>13</v>
      </c>
      <c r="G6" s="8" t="s">
        <v>79</v>
      </c>
      <c r="H6" s="11" t="s">
        <v>932</v>
      </c>
      <c r="I6" s="32">
        <v>39</v>
      </c>
      <c r="J6" s="11" t="str">
        <f>"1170,0"</f>
        <v>1170,0</v>
      </c>
      <c r="K6" s="11" t="str">
        <f>"1184,0400"</f>
        <v>1184,0400</v>
      </c>
      <c r="L6" s="8" t="s">
        <v>80</v>
      </c>
    </row>
    <row r="7" spans="1:12" ht="12.75">
      <c r="A7" s="19" t="s">
        <v>47</v>
      </c>
      <c r="B7" s="16" t="s">
        <v>426</v>
      </c>
      <c r="C7" s="16" t="s">
        <v>427</v>
      </c>
      <c r="D7" s="16" t="s">
        <v>68</v>
      </c>
      <c r="E7" s="16" t="str">
        <f>"0,9969"</f>
        <v>0,9969</v>
      </c>
      <c r="F7" s="16" t="s">
        <v>13</v>
      </c>
      <c r="G7" s="16" t="s">
        <v>115</v>
      </c>
      <c r="H7" s="19" t="s">
        <v>932</v>
      </c>
      <c r="I7" s="31">
        <v>25</v>
      </c>
      <c r="J7" s="19" t="str">
        <f>"750,0"</f>
        <v>750,0</v>
      </c>
      <c r="K7" s="19" t="str">
        <f>"747,7125"</f>
        <v>747,7125</v>
      </c>
      <c r="L7" s="16" t="s">
        <v>428</v>
      </c>
    </row>
    <row r="8" ht="12.75">
      <c r="B8" s="6" t="s">
        <v>21</v>
      </c>
    </row>
    <row r="9" spans="1:11" ht="15">
      <c r="A9" s="51" t="s">
        <v>87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2" ht="12.75">
      <c r="A10" s="11" t="s">
        <v>23</v>
      </c>
      <c r="B10" s="8" t="s">
        <v>434</v>
      </c>
      <c r="C10" s="8" t="s">
        <v>1172</v>
      </c>
      <c r="D10" s="8" t="s">
        <v>436</v>
      </c>
      <c r="E10" s="8" t="str">
        <f>"0,9584"</f>
        <v>0,9584</v>
      </c>
      <c r="F10" s="8" t="s">
        <v>13</v>
      </c>
      <c r="G10" s="8" t="s">
        <v>437</v>
      </c>
      <c r="H10" s="11" t="s">
        <v>25</v>
      </c>
      <c r="I10" s="32">
        <v>45</v>
      </c>
      <c r="J10" s="11" t="str">
        <f>"1462,5"</f>
        <v>1462,5</v>
      </c>
      <c r="K10" s="11" t="str">
        <f>"1401,5869"</f>
        <v>1401,5869</v>
      </c>
      <c r="L10" s="8" t="s">
        <v>438</v>
      </c>
    </row>
    <row r="11" spans="1:12" ht="12.75">
      <c r="A11" s="19" t="s">
        <v>23</v>
      </c>
      <c r="B11" s="16" t="s">
        <v>434</v>
      </c>
      <c r="C11" s="16" t="s">
        <v>447</v>
      </c>
      <c r="D11" s="16" t="s">
        <v>436</v>
      </c>
      <c r="E11" s="16" t="str">
        <f>"0,9584"</f>
        <v>0,9584</v>
      </c>
      <c r="F11" s="16" t="s">
        <v>13</v>
      </c>
      <c r="G11" s="16" t="s">
        <v>437</v>
      </c>
      <c r="H11" s="19" t="s">
        <v>25</v>
      </c>
      <c r="I11" s="31">
        <v>45</v>
      </c>
      <c r="J11" s="19" t="str">
        <f>"1462,5"</f>
        <v>1462,5</v>
      </c>
      <c r="K11" s="19" t="str">
        <f>"1401,5869"</f>
        <v>1401,5869</v>
      </c>
      <c r="L11" s="16" t="s">
        <v>438</v>
      </c>
    </row>
    <row r="12" ht="12.75">
      <c r="B12" s="6" t="s">
        <v>21</v>
      </c>
    </row>
    <row r="13" spans="1:11" ht="15">
      <c r="A13" s="51" t="s">
        <v>96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2" ht="12.75">
      <c r="A14" s="11" t="s">
        <v>23</v>
      </c>
      <c r="B14" s="8" t="s">
        <v>97</v>
      </c>
      <c r="C14" s="8" t="s">
        <v>1173</v>
      </c>
      <c r="D14" s="8" t="s">
        <v>1174</v>
      </c>
      <c r="E14" s="8" t="str">
        <f>"0,8567"</f>
        <v>0,8567</v>
      </c>
      <c r="F14" s="8" t="s">
        <v>239</v>
      </c>
      <c r="G14" s="8" t="s">
        <v>84</v>
      </c>
      <c r="H14" s="11" t="s">
        <v>27</v>
      </c>
      <c r="I14" s="32">
        <v>40</v>
      </c>
      <c r="J14" s="11" t="str">
        <f>"1500,0"</f>
        <v>1500,0</v>
      </c>
      <c r="K14" s="11" t="str">
        <f>"1285,0800"</f>
        <v>1285,0800</v>
      </c>
      <c r="L14" s="8" t="s">
        <v>102</v>
      </c>
    </row>
    <row r="15" spans="1:12" ht="12.75">
      <c r="A15" s="19" t="s">
        <v>47</v>
      </c>
      <c r="B15" s="16" t="s">
        <v>448</v>
      </c>
      <c r="C15" s="16" t="s">
        <v>1175</v>
      </c>
      <c r="D15" s="16" t="s">
        <v>450</v>
      </c>
      <c r="E15" s="16" t="str">
        <f>"0,8461"</f>
        <v>0,8461</v>
      </c>
      <c r="F15" s="16" t="s">
        <v>13</v>
      </c>
      <c r="G15" s="16" t="s">
        <v>115</v>
      </c>
      <c r="H15" s="19" t="s">
        <v>27</v>
      </c>
      <c r="I15" s="31">
        <v>33</v>
      </c>
      <c r="J15" s="19" t="str">
        <f>"1237,5"</f>
        <v>1237,5</v>
      </c>
      <c r="K15" s="19" t="str">
        <f>"1046,9869"</f>
        <v>1046,9869</v>
      </c>
      <c r="L15" s="16" t="s">
        <v>451</v>
      </c>
    </row>
    <row r="16" ht="12.75">
      <c r="B16" s="6" t="s">
        <v>21</v>
      </c>
    </row>
    <row r="17" spans="1:11" ht="15">
      <c r="A17" s="51" t="s">
        <v>56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2" ht="12.75">
      <c r="A18" s="23" t="s">
        <v>23</v>
      </c>
      <c r="B18" s="20" t="s">
        <v>469</v>
      </c>
      <c r="C18" s="20" t="s">
        <v>1176</v>
      </c>
      <c r="D18" s="20" t="s">
        <v>319</v>
      </c>
      <c r="E18" s="20" t="str">
        <f>"0,8925"</f>
        <v>0,8925</v>
      </c>
      <c r="F18" s="20" t="s">
        <v>13</v>
      </c>
      <c r="G18" s="20" t="s">
        <v>237</v>
      </c>
      <c r="H18" s="23" t="s">
        <v>932</v>
      </c>
      <c r="I18" s="33">
        <v>55</v>
      </c>
      <c r="J18" s="23" t="str">
        <f>"1650,0"</f>
        <v>1650,0</v>
      </c>
      <c r="K18" s="23" t="str">
        <f>"1472,7075"</f>
        <v>1472,7075</v>
      </c>
      <c r="L18" s="20" t="s">
        <v>20</v>
      </c>
    </row>
    <row r="19" ht="12.75">
      <c r="B19" s="6" t="s">
        <v>21</v>
      </c>
    </row>
    <row r="20" spans="1:11" ht="15">
      <c r="A20" s="51" t="s">
        <v>109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2" ht="12.75">
      <c r="A21" s="23" t="s">
        <v>23</v>
      </c>
      <c r="B21" s="20" t="s">
        <v>1177</v>
      </c>
      <c r="C21" s="20" t="s">
        <v>1178</v>
      </c>
      <c r="D21" s="20" t="s">
        <v>1179</v>
      </c>
      <c r="E21" s="20" t="str">
        <f>"0,6485"</f>
        <v>0,6485</v>
      </c>
      <c r="F21" s="20" t="s">
        <v>13</v>
      </c>
      <c r="G21" s="20" t="s">
        <v>581</v>
      </c>
      <c r="H21" s="23" t="s">
        <v>54</v>
      </c>
      <c r="I21" s="33">
        <v>72</v>
      </c>
      <c r="J21" s="23" t="str">
        <f>"3060,0"</f>
        <v>3060,0</v>
      </c>
      <c r="K21" s="23" t="str">
        <f>"2609,2980"</f>
        <v>2609,2980</v>
      </c>
      <c r="L21" s="20" t="s">
        <v>20</v>
      </c>
    </row>
    <row r="22" ht="12.75">
      <c r="B22" s="6" t="s">
        <v>21</v>
      </c>
    </row>
    <row r="23" spans="1:11" ht="15">
      <c r="A23" s="51" t="s">
        <v>153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2" ht="12.75">
      <c r="A24" s="23" t="s">
        <v>23</v>
      </c>
      <c r="B24" s="20" t="s">
        <v>1180</v>
      </c>
      <c r="C24" s="20" t="s">
        <v>1181</v>
      </c>
      <c r="D24" s="20" t="s">
        <v>1182</v>
      </c>
      <c r="E24" s="20" t="str">
        <f>"0,6342"</f>
        <v>0,6342</v>
      </c>
      <c r="F24" s="20" t="s">
        <v>13</v>
      </c>
      <c r="G24" s="20" t="s">
        <v>1183</v>
      </c>
      <c r="H24" s="23" t="s">
        <v>54</v>
      </c>
      <c r="I24" s="33">
        <v>78</v>
      </c>
      <c r="J24" s="23" t="str">
        <f>"3315,0"</f>
        <v>3315,0</v>
      </c>
      <c r="K24" s="23" t="str">
        <f>"2102,4559"</f>
        <v>2102,4559</v>
      </c>
      <c r="L24" s="20" t="s">
        <v>20</v>
      </c>
    </row>
    <row r="25" ht="12.75">
      <c r="B25" s="6" t="s">
        <v>21</v>
      </c>
    </row>
  </sheetData>
  <sheetProtection/>
  <mergeCells count="18">
    <mergeCell ref="L3:L4"/>
    <mergeCell ref="A5:K5"/>
    <mergeCell ref="A9:K9"/>
    <mergeCell ref="A13:K13"/>
    <mergeCell ref="A1:L2"/>
    <mergeCell ref="A3:A4"/>
    <mergeCell ref="C3:C4"/>
    <mergeCell ref="D3:D4"/>
    <mergeCell ref="E3:E4"/>
    <mergeCell ref="F3:F4"/>
    <mergeCell ref="A17:K17"/>
    <mergeCell ref="A20:K20"/>
    <mergeCell ref="A23:K23"/>
    <mergeCell ref="B3:B4"/>
    <mergeCell ref="J3:J4"/>
    <mergeCell ref="K3:K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75390625" style="7" bestFit="1" customWidth="1"/>
    <col min="2" max="2" width="23.875" style="6" customWidth="1"/>
    <col min="3" max="3" width="25.37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2.25390625" style="6" bestFit="1" customWidth="1"/>
    <col min="8" max="8" width="9.00390625" style="7" customWidth="1"/>
    <col min="9" max="9" width="15.875" style="28" customWidth="1"/>
    <col min="10" max="10" width="8.125" style="7" bestFit="1" customWidth="1"/>
    <col min="11" max="11" width="9.25390625" style="7" bestFit="1" customWidth="1"/>
    <col min="12" max="12" width="23.25390625" style="6" customWidth="1"/>
    <col min="13" max="16384" width="9.125" style="3" customWidth="1"/>
  </cols>
  <sheetData>
    <row r="1" spans="1:12" s="2" customFormat="1" ht="28.5" customHeight="1">
      <c r="A1" s="55" t="s">
        <v>1184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2.75" customHeight="1">
      <c r="A3" s="62" t="s">
        <v>0</v>
      </c>
      <c r="B3" s="67" t="s">
        <v>1</v>
      </c>
      <c r="C3" s="64" t="s">
        <v>2</v>
      </c>
      <c r="D3" s="64" t="s">
        <v>3</v>
      </c>
      <c r="E3" s="66" t="s">
        <v>971</v>
      </c>
      <c r="F3" s="66" t="s">
        <v>5</v>
      </c>
      <c r="G3" s="66" t="s">
        <v>6</v>
      </c>
      <c r="H3" s="66" t="s">
        <v>988</v>
      </c>
      <c r="I3" s="66"/>
      <c r="J3" s="66" t="s">
        <v>989</v>
      </c>
      <c r="K3" s="66" t="s">
        <v>8</v>
      </c>
      <c r="L3" s="52" t="s">
        <v>9</v>
      </c>
    </row>
    <row r="4" spans="1:12" s="1" customFormat="1" ht="21" customHeight="1" thickBot="1">
      <c r="A4" s="63"/>
      <c r="B4" s="68"/>
      <c r="C4" s="65"/>
      <c r="D4" s="65"/>
      <c r="E4" s="65"/>
      <c r="F4" s="65"/>
      <c r="G4" s="65"/>
      <c r="H4" s="4" t="s">
        <v>1068</v>
      </c>
      <c r="I4" s="30" t="s">
        <v>991</v>
      </c>
      <c r="J4" s="65"/>
      <c r="K4" s="65"/>
      <c r="L4" s="53"/>
    </row>
    <row r="5" spans="1:11" ht="15">
      <c r="A5" s="54" t="s">
        <v>60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2.75">
      <c r="A6" s="23" t="s">
        <v>23</v>
      </c>
      <c r="B6" s="20" t="s">
        <v>1185</v>
      </c>
      <c r="C6" s="20" t="s">
        <v>1186</v>
      </c>
      <c r="D6" s="20" t="s">
        <v>1187</v>
      </c>
      <c r="E6" s="20" t="str">
        <f>"1,0065"</f>
        <v>1,0065</v>
      </c>
      <c r="F6" s="20" t="s">
        <v>13</v>
      </c>
      <c r="G6" s="20" t="s">
        <v>14</v>
      </c>
      <c r="H6" s="23" t="s">
        <v>932</v>
      </c>
      <c r="I6" s="33">
        <v>49</v>
      </c>
      <c r="J6" s="23" t="str">
        <f>"1470,0"</f>
        <v>1470,0</v>
      </c>
      <c r="K6" s="23" t="str">
        <f>"1479,5550"</f>
        <v>1479,5550</v>
      </c>
      <c r="L6" s="20" t="s">
        <v>20</v>
      </c>
    </row>
    <row r="7" ht="12.75">
      <c r="B7" s="6" t="s">
        <v>21</v>
      </c>
    </row>
    <row r="8" spans="1:11" ht="15">
      <c r="A8" s="51" t="s">
        <v>96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ht="12.75">
      <c r="A9" s="23" t="s">
        <v>23</v>
      </c>
      <c r="B9" s="20" t="s">
        <v>940</v>
      </c>
      <c r="C9" s="20" t="s">
        <v>1188</v>
      </c>
      <c r="D9" s="20" t="s">
        <v>372</v>
      </c>
      <c r="E9" s="20" t="str">
        <f>"0,7117"</f>
        <v>0,7117</v>
      </c>
      <c r="F9" s="20" t="s">
        <v>13</v>
      </c>
      <c r="G9" s="20" t="s">
        <v>374</v>
      </c>
      <c r="H9" s="23" t="s">
        <v>27</v>
      </c>
      <c r="I9" s="33">
        <v>16</v>
      </c>
      <c r="J9" s="23" t="str">
        <f>"600,0"</f>
        <v>600,0</v>
      </c>
      <c r="K9" s="23" t="str">
        <f>"672,9835"</f>
        <v>672,9835</v>
      </c>
      <c r="L9" s="20" t="s">
        <v>941</v>
      </c>
    </row>
    <row r="10" ht="12.75">
      <c r="B10" s="6" t="s">
        <v>21</v>
      </c>
    </row>
    <row r="11" spans="1:11" ht="15">
      <c r="A11" s="51" t="s">
        <v>109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2" ht="12.75">
      <c r="A12" s="23" t="s">
        <v>23</v>
      </c>
      <c r="B12" s="20" t="s">
        <v>1189</v>
      </c>
      <c r="C12" s="20" t="s">
        <v>1190</v>
      </c>
      <c r="D12" s="20" t="s">
        <v>1191</v>
      </c>
      <c r="E12" s="20" t="str">
        <f>"0,6752"</f>
        <v>0,6752</v>
      </c>
      <c r="F12" s="20" t="s">
        <v>13</v>
      </c>
      <c r="G12" s="20" t="s">
        <v>79</v>
      </c>
      <c r="H12" s="23" t="s">
        <v>33</v>
      </c>
      <c r="I12" s="33">
        <v>59</v>
      </c>
      <c r="J12" s="23" t="str">
        <f>"2360,0"</f>
        <v>2360,0</v>
      </c>
      <c r="K12" s="23" t="str">
        <f>"2924,0211"</f>
        <v>2924,0211</v>
      </c>
      <c r="L12" s="20" t="s">
        <v>20</v>
      </c>
    </row>
    <row r="13" ht="12.75">
      <c r="B13" s="6" t="s">
        <v>21</v>
      </c>
    </row>
    <row r="14" spans="1:11" ht="15">
      <c r="A14" s="51" t="s">
        <v>172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2" ht="12.75">
      <c r="A15" s="23" t="s">
        <v>23</v>
      </c>
      <c r="B15" s="20" t="s">
        <v>1192</v>
      </c>
      <c r="C15" s="20" t="s">
        <v>1193</v>
      </c>
      <c r="D15" s="20" t="s">
        <v>765</v>
      </c>
      <c r="E15" s="20" t="str">
        <f>"0,5900"</f>
        <v>0,5900</v>
      </c>
      <c r="F15" s="20" t="s">
        <v>13</v>
      </c>
      <c r="G15" s="20" t="s">
        <v>1114</v>
      </c>
      <c r="H15" s="23" t="s">
        <v>19</v>
      </c>
      <c r="I15" s="33">
        <v>39</v>
      </c>
      <c r="J15" s="23" t="str">
        <f>"1950,0"</f>
        <v>1950,0</v>
      </c>
      <c r="K15" s="23" t="str">
        <f>"2020,1069"</f>
        <v>2020,1069</v>
      </c>
      <c r="L15" s="20" t="s">
        <v>20</v>
      </c>
    </row>
    <row r="16" ht="12.75">
      <c r="B16" s="6" t="s">
        <v>21</v>
      </c>
    </row>
    <row r="17" spans="1:11" ht="15">
      <c r="A17" s="51" t="s">
        <v>185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2" ht="12.75">
      <c r="A18" s="23" t="s">
        <v>23</v>
      </c>
      <c r="B18" s="20" t="s">
        <v>962</v>
      </c>
      <c r="C18" s="20" t="s">
        <v>1145</v>
      </c>
      <c r="D18" s="20" t="s">
        <v>963</v>
      </c>
      <c r="E18" s="20" t="str">
        <f>"0,5695"</f>
        <v>0,5695</v>
      </c>
      <c r="F18" s="20" t="s">
        <v>13</v>
      </c>
      <c r="G18" s="20" t="s">
        <v>171</v>
      </c>
      <c r="H18" s="23" t="s">
        <v>42</v>
      </c>
      <c r="I18" s="33">
        <v>25</v>
      </c>
      <c r="J18" s="23" t="str">
        <f>"1375,0"</f>
        <v>1375,0</v>
      </c>
      <c r="K18" s="23" t="str">
        <f>"1135,5403"</f>
        <v>1135,5403</v>
      </c>
      <c r="L18" s="20" t="s">
        <v>20</v>
      </c>
    </row>
    <row r="19" ht="12.75">
      <c r="B19" s="6" t="s">
        <v>21</v>
      </c>
    </row>
  </sheetData>
  <sheetProtection/>
  <mergeCells count="17">
    <mergeCell ref="A1:L2"/>
    <mergeCell ref="A3:A4"/>
    <mergeCell ref="C3:C4"/>
    <mergeCell ref="D3:D4"/>
    <mergeCell ref="E3:E4"/>
    <mergeCell ref="F3:F4"/>
    <mergeCell ref="G3:G4"/>
    <mergeCell ref="H3:I3"/>
    <mergeCell ref="A14:K14"/>
    <mergeCell ref="A17:K17"/>
    <mergeCell ref="B3:B4"/>
    <mergeCell ref="J3:J4"/>
    <mergeCell ref="K3:K4"/>
    <mergeCell ref="L3:L4"/>
    <mergeCell ref="A5:K5"/>
    <mergeCell ref="A8:K8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2018-10-27T15:14:39Z</dcterms:modified>
  <cp:category/>
  <cp:version/>
  <cp:contentType/>
  <cp:contentStatus/>
</cp:coreProperties>
</file>