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ascal Girard\Documents\SITE BENCHPRESSCHAMPION.COM\EUROPEANCOMPETITION\"/>
    </mc:Choice>
  </mc:AlternateContent>
  <xr:revisionPtr revIDLastSave="0" documentId="8_{90080C3E-C3DD-4831-BE82-C4530F3CEAAD}" xr6:coauthVersionLast="47" xr6:coauthVersionMax="47" xr10:uidLastSave="{00000000-0000-0000-0000-000000000000}"/>
  <bookViews>
    <workbookView xWindow="195" yWindow="105" windowWidth="13920" windowHeight="15480" tabRatio="882" firstSheet="1" activeTab="9" xr2:uid="{00000000-000D-0000-FFFF-FFFF00000000}"/>
  </bookViews>
  <sheets>
    <sheet name="PL Raw D" sheetId="9" r:id="rId1"/>
    <sheet name="PL Cl D" sheetId="11" r:id="rId2"/>
    <sheet name="PL SP D" sheetId="7" r:id="rId3"/>
    <sheet name="BP Raw D" sheetId="13" r:id="rId4"/>
    <sheet name="BP SP D" sheetId="15" r:id="rId5"/>
    <sheet name="PL Raw" sheetId="88" r:id="rId6"/>
    <sheet name="PL Cl" sheetId="89" r:id="rId7"/>
    <sheet name="PL SP" sheetId="90" r:id="rId8"/>
    <sheet name="BP SP" sheetId="91" r:id="rId9"/>
    <sheet name="Feuil5" sheetId="92" r:id="rId10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5" i="92" l="1"/>
  <c r="E55" i="92"/>
  <c r="K52" i="92"/>
  <c r="E52" i="92"/>
  <c r="K49" i="92"/>
  <c r="E49" i="92"/>
  <c r="K48" i="92"/>
  <c r="E48" i="92"/>
  <c r="K47" i="92"/>
  <c r="E47" i="92"/>
  <c r="K46" i="92"/>
  <c r="E46" i="92"/>
  <c r="K45" i="92"/>
  <c r="E45" i="92"/>
  <c r="K44" i="92"/>
  <c r="E44" i="92"/>
  <c r="K41" i="92"/>
  <c r="E41" i="92"/>
  <c r="K40" i="92"/>
  <c r="E40" i="92"/>
  <c r="K39" i="92"/>
  <c r="E39" i="92"/>
  <c r="K38" i="92"/>
  <c r="E38" i="92"/>
  <c r="K37" i="92"/>
  <c r="E37" i="92"/>
  <c r="K36" i="92"/>
  <c r="E36" i="92"/>
  <c r="K35" i="92"/>
  <c r="E35" i="92"/>
  <c r="K32" i="92"/>
  <c r="E32" i="92"/>
  <c r="K31" i="92"/>
  <c r="E31" i="92"/>
  <c r="K30" i="92"/>
  <c r="E30" i="92"/>
  <c r="K29" i="92"/>
  <c r="E29" i="92"/>
  <c r="K26" i="92"/>
  <c r="E26" i="92"/>
  <c r="K25" i="92"/>
  <c r="E25" i="92"/>
  <c r="K22" i="92"/>
  <c r="E22" i="92"/>
  <c r="K21" i="92"/>
  <c r="E21" i="92"/>
  <c r="K20" i="92"/>
  <c r="E20" i="92"/>
  <c r="K19" i="92"/>
  <c r="E19" i="92"/>
  <c r="K16" i="92"/>
  <c r="E16" i="92"/>
  <c r="K15" i="92"/>
  <c r="E15" i="92"/>
  <c r="K14" i="92"/>
  <c r="E14" i="92"/>
  <c r="K10" i="92"/>
  <c r="E10" i="92"/>
  <c r="K7" i="92"/>
  <c r="E7" i="92"/>
  <c r="E10" i="91"/>
  <c r="E7" i="91"/>
  <c r="E10" i="90"/>
  <c r="S7" i="90"/>
  <c r="E7" i="90"/>
  <c r="S29" i="89"/>
  <c r="E29" i="89"/>
  <c r="S28" i="89"/>
  <c r="E28" i="89"/>
  <c r="S25" i="89"/>
  <c r="E25" i="89"/>
  <c r="S24" i="89"/>
  <c r="E24" i="89"/>
  <c r="S21" i="89"/>
  <c r="E21" i="89"/>
  <c r="S20" i="89"/>
  <c r="E20" i="89"/>
  <c r="S17" i="89"/>
  <c r="E17" i="89"/>
  <c r="S16" i="89"/>
  <c r="E16" i="89"/>
  <c r="S15" i="89"/>
  <c r="E15" i="89"/>
  <c r="S12" i="89"/>
  <c r="E12" i="89"/>
  <c r="S11" i="89"/>
  <c r="E11" i="89"/>
  <c r="S7" i="89"/>
  <c r="E7" i="89"/>
  <c r="S50" i="88"/>
  <c r="E50" i="88"/>
  <c r="E47" i="88"/>
  <c r="S46" i="88"/>
  <c r="E46" i="88"/>
  <c r="S43" i="88"/>
  <c r="E43" i="88"/>
  <c r="S42" i="88"/>
  <c r="E42" i="88"/>
  <c r="S41" i="88"/>
  <c r="E41" i="88"/>
  <c r="S40" i="88"/>
  <c r="E40" i="88"/>
  <c r="S37" i="88"/>
  <c r="E37" i="88"/>
  <c r="S36" i="88"/>
  <c r="E36" i="88"/>
  <c r="S35" i="88"/>
  <c r="E35" i="88"/>
  <c r="S34" i="88"/>
  <c r="E34" i="88"/>
  <c r="S33" i="88"/>
  <c r="E33" i="88"/>
  <c r="S32" i="88"/>
  <c r="E32" i="88"/>
  <c r="E31" i="88"/>
  <c r="E28" i="88"/>
  <c r="S27" i="88"/>
  <c r="E27" i="88"/>
  <c r="S26" i="88"/>
  <c r="E26" i="88"/>
  <c r="S25" i="88"/>
  <c r="E25" i="88"/>
  <c r="S24" i="88"/>
  <c r="E24" i="88"/>
  <c r="S23" i="88"/>
  <c r="E23" i="88"/>
  <c r="S20" i="88"/>
  <c r="E20" i="88"/>
  <c r="S19" i="88"/>
  <c r="E19" i="88"/>
  <c r="S16" i="88"/>
  <c r="E16" i="88"/>
  <c r="S15" i="88"/>
  <c r="E15" i="88"/>
  <c r="S14" i="88"/>
  <c r="E14" i="88"/>
  <c r="S11" i="88"/>
  <c r="E11" i="88"/>
  <c r="S7" i="88"/>
  <c r="E7" i="88"/>
  <c r="K7" i="15"/>
  <c r="E7" i="15"/>
  <c r="K113" i="13"/>
  <c r="E113" i="13"/>
  <c r="K112" i="13"/>
  <c r="E112" i="13"/>
  <c r="K109" i="13"/>
  <c r="E109" i="13"/>
  <c r="K108" i="13"/>
  <c r="E108" i="13"/>
  <c r="E105" i="13"/>
  <c r="K104" i="13"/>
  <c r="E104" i="13"/>
  <c r="K103" i="13"/>
  <c r="E103" i="13"/>
  <c r="K102" i="13"/>
  <c r="E102" i="13"/>
  <c r="K99" i="13"/>
  <c r="E99" i="13"/>
  <c r="K98" i="13"/>
  <c r="E98" i="13"/>
  <c r="K97" i="13"/>
  <c r="E97" i="13"/>
  <c r="K96" i="13"/>
  <c r="E96" i="13"/>
  <c r="K95" i="13"/>
  <c r="E95" i="13"/>
  <c r="K94" i="13"/>
  <c r="E94" i="13"/>
  <c r="K93" i="13"/>
  <c r="E93" i="13"/>
  <c r="K92" i="13"/>
  <c r="E92" i="13"/>
  <c r="K89" i="13"/>
  <c r="E89" i="13"/>
  <c r="K88" i="13"/>
  <c r="E88" i="13"/>
  <c r="K87" i="13"/>
  <c r="E87" i="13"/>
  <c r="K86" i="13"/>
  <c r="E86" i="13"/>
  <c r="K85" i="13"/>
  <c r="E85" i="13"/>
  <c r="K84" i="13"/>
  <c r="E84" i="13"/>
  <c r="K83" i="13"/>
  <c r="E83" i="13"/>
  <c r="K80" i="13"/>
  <c r="E80" i="13"/>
  <c r="K79" i="13"/>
  <c r="E79" i="13"/>
  <c r="E78" i="13"/>
  <c r="K77" i="13"/>
  <c r="E77" i="13"/>
  <c r="E76" i="13"/>
  <c r="E75" i="13"/>
  <c r="K74" i="13"/>
  <c r="E74" i="13"/>
  <c r="K73" i="13"/>
  <c r="E73" i="13"/>
  <c r="K72" i="13"/>
  <c r="E72" i="13"/>
  <c r="K71" i="13"/>
  <c r="E71" i="13"/>
  <c r="K70" i="13"/>
  <c r="E70" i="13"/>
  <c r="K69" i="13"/>
  <c r="E69" i="13"/>
  <c r="K68" i="13"/>
  <c r="E68" i="13"/>
  <c r="K65" i="13"/>
  <c r="E65" i="13"/>
  <c r="K64" i="13"/>
  <c r="E64" i="13"/>
  <c r="E63" i="13"/>
  <c r="K62" i="13"/>
  <c r="E62" i="13"/>
  <c r="K61" i="13"/>
  <c r="E61" i="13"/>
  <c r="K60" i="13"/>
  <c r="E60" i="13"/>
  <c r="K59" i="13"/>
  <c r="E59" i="13"/>
  <c r="K58" i="13"/>
  <c r="E58" i="13"/>
  <c r="K57" i="13"/>
  <c r="E57" i="13"/>
  <c r="E56" i="13"/>
  <c r="K55" i="13"/>
  <c r="E55" i="13"/>
  <c r="K52" i="13"/>
  <c r="E52" i="13"/>
  <c r="K51" i="13"/>
  <c r="E51" i="13"/>
  <c r="K50" i="13"/>
  <c r="E50" i="13"/>
  <c r="K49" i="13"/>
  <c r="E49" i="13"/>
  <c r="K48" i="13"/>
  <c r="E48" i="13"/>
  <c r="E47" i="13"/>
  <c r="K46" i="13"/>
  <c r="E46" i="13"/>
  <c r="K43" i="13"/>
  <c r="E43" i="13"/>
  <c r="K42" i="13"/>
  <c r="E42" i="13"/>
  <c r="K39" i="13"/>
  <c r="E39" i="13"/>
  <c r="K35" i="13"/>
  <c r="E35" i="13"/>
  <c r="K32" i="13"/>
  <c r="E32" i="13"/>
  <c r="K31" i="13"/>
  <c r="E31" i="13"/>
  <c r="K30" i="13"/>
  <c r="E30" i="13"/>
  <c r="K29" i="13"/>
  <c r="E29" i="13"/>
  <c r="K26" i="13"/>
  <c r="E26" i="13"/>
  <c r="K25" i="13"/>
  <c r="E25" i="13"/>
  <c r="K24" i="13"/>
  <c r="E24" i="13"/>
  <c r="K21" i="13"/>
  <c r="E21" i="13"/>
  <c r="K18" i="13"/>
  <c r="E18" i="13"/>
  <c r="K17" i="13"/>
  <c r="E17" i="13"/>
  <c r="K16" i="13"/>
  <c r="E16" i="13"/>
  <c r="K13" i="13"/>
  <c r="E13" i="13"/>
  <c r="K12" i="13"/>
  <c r="E12" i="13"/>
  <c r="K9" i="13"/>
  <c r="E9" i="13"/>
  <c r="K8" i="13"/>
  <c r="E8" i="13"/>
  <c r="K7" i="13"/>
  <c r="E7" i="13"/>
  <c r="S29" i="11"/>
  <c r="E29" i="11"/>
  <c r="S26" i="11"/>
  <c r="E26" i="11"/>
  <c r="S25" i="11"/>
  <c r="E25" i="11"/>
  <c r="E22" i="11"/>
  <c r="S21" i="11"/>
  <c r="E21" i="11"/>
  <c r="S17" i="11"/>
  <c r="E17" i="11"/>
  <c r="S16" i="11"/>
  <c r="E16" i="11"/>
  <c r="S13" i="11"/>
  <c r="E13" i="11"/>
  <c r="S10" i="11"/>
  <c r="E10" i="11"/>
  <c r="S7" i="11"/>
  <c r="E7" i="11"/>
  <c r="S114" i="9"/>
  <c r="E114" i="9"/>
  <c r="S111" i="9"/>
  <c r="E111" i="9"/>
  <c r="S110" i="9"/>
  <c r="E110" i="9"/>
  <c r="S109" i="9"/>
  <c r="E109" i="9"/>
  <c r="S106" i="9"/>
  <c r="E106" i="9"/>
  <c r="E105" i="9"/>
  <c r="S104" i="9"/>
  <c r="E104" i="9"/>
  <c r="S103" i="9"/>
  <c r="E103" i="9"/>
  <c r="E102" i="9"/>
  <c r="S99" i="9"/>
  <c r="E99" i="9"/>
  <c r="E98" i="9"/>
  <c r="S97" i="9"/>
  <c r="E97" i="9"/>
  <c r="S96" i="9"/>
  <c r="E96" i="9"/>
  <c r="S95" i="9"/>
  <c r="E95" i="9"/>
  <c r="S94" i="9"/>
  <c r="E94" i="9"/>
  <c r="S93" i="9"/>
  <c r="E93" i="9"/>
  <c r="S92" i="9"/>
  <c r="E92" i="9"/>
  <c r="S91" i="9"/>
  <c r="E91" i="9"/>
  <c r="E90" i="9"/>
  <c r="S87" i="9"/>
  <c r="E87" i="9"/>
  <c r="S86" i="9"/>
  <c r="E86" i="9"/>
  <c r="S85" i="9"/>
  <c r="E85" i="9"/>
  <c r="S84" i="9"/>
  <c r="E84" i="9"/>
  <c r="S83" i="9"/>
  <c r="E83" i="9"/>
  <c r="S82" i="9"/>
  <c r="E82" i="9"/>
  <c r="S81" i="9"/>
  <c r="E81" i="9"/>
  <c r="E80" i="9"/>
  <c r="S79" i="9"/>
  <c r="E79" i="9"/>
  <c r="S78" i="9"/>
  <c r="E78" i="9"/>
  <c r="S77" i="9"/>
  <c r="E77" i="9"/>
  <c r="E74" i="9"/>
  <c r="S73" i="9"/>
  <c r="E73" i="9"/>
  <c r="S72" i="9"/>
  <c r="E72" i="9"/>
  <c r="S71" i="9"/>
  <c r="E71" i="9"/>
  <c r="S70" i="9"/>
  <c r="E70" i="9"/>
  <c r="S69" i="9"/>
  <c r="E69" i="9"/>
  <c r="S68" i="9"/>
  <c r="E68" i="9"/>
  <c r="S67" i="9"/>
  <c r="E67" i="9"/>
  <c r="S64" i="9"/>
  <c r="E64" i="9"/>
  <c r="S63" i="9"/>
  <c r="E63" i="9"/>
  <c r="S62" i="9"/>
  <c r="E62" i="9"/>
  <c r="S61" i="9"/>
  <c r="E61" i="9"/>
  <c r="S60" i="9"/>
  <c r="E60" i="9"/>
  <c r="S56" i="9"/>
  <c r="E56" i="9"/>
  <c r="E55" i="9"/>
  <c r="S52" i="9"/>
  <c r="E52" i="9"/>
  <c r="E51" i="9"/>
  <c r="S50" i="9"/>
  <c r="E50" i="9"/>
  <c r="S49" i="9"/>
  <c r="E49" i="9"/>
  <c r="S46" i="9"/>
  <c r="E46" i="9"/>
  <c r="E45" i="9"/>
  <c r="S44" i="9"/>
  <c r="E44" i="9"/>
  <c r="S43" i="9"/>
  <c r="E43" i="9"/>
  <c r="S42" i="9"/>
  <c r="E42" i="9"/>
  <c r="S41" i="9"/>
  <c r="E41" i="9"/>
  <c r="S40" i="9"/>
  <c r="E40" i="9"/>
  <c r="S39" i="9"/>
  <c r="E39" i="9"/>
  <c r="S36" i="9"/>
  <c r="E36" i="9"/>
  <c r="S35" i="9"/>
  <c r="E35" i="9"/>
  <c r="S34" i="9"/>
  <c r="E34" i="9"/>
  <c r="S33" i="9"/>
  <c r="E33" i="9"/>
  <c r="E32" i="9"/>
  <c r="S31" i="9"/>
  <c r="E31" i="9"/>
  <c r="S28" i="9"/>
  <c r="E28" i="9"/>
  <c r="S27" i="9"/>
  <c r="E27" i="9"/>
  <c r="S26" i="9"/>
  <c r="E26" i="9"/>
  <c r="S25" i="9"/>
  <c r="E25" i="9"/>
  <c r="S24" i="9"/>
  <c r="E24" i="9"/>
  <c r="S23" i="9"/>
  <c r="E23" i="9"/>
  <c r="S20" i="9"/>
  <c r="E20" i="9"/>
  <c r="S19" i="9"/>
  <c r="E19" i="9"/>
  <c r="S18" i="9"/>
  <c r="E18" i="9"/>
  <c r="S17" i="9"/>
  <c r="E17" i="9"/>
  <c r="S16" i="9"/>
  <c r="E16" i="9"/>
  <c r="S15" i="9"/>
  <c r="E15" i="9"/>
  <c r="S14" i="9"/>
  <c r="E14" i="9"/>
  <c r="S13" i="9"/>
  <c r="E13" i="9"/>
  <c r="S12" i="9"/>
  <c r="E12" i="9"/>
  <c r="S11" i="9"/>
  <c r="E11" i="9"/>
  <c r="S10" i="9"/>
  <c r="E10" i="9"/>
  <c r="S7" i="9"/>
  <c r="E7" i="9"/>
  <c r="S7" i="7"/>
  <c r="E7" i="7"/>
</calcChain>
</file>

<file path=xl/sharedStrings.xml><?xml version="1.0" encoding="utf-8"?>
<sst xmlns="http://schemas.openxmlformats.org/spreadsheetml/2006/main" count="2613" uniqueCount="874">
  <si>
    <t>Wilks</t>
  </si>
  <si>
    <t>47,50</t>
  </si>
  <si>
    <t>95,0</t>
  </si>
  <si>
    <t>100,0</t>
  </si>
  <si>
    <t>105,0</t>
  </si>
  <si>
    <t>40,0</t>
  </si>
  <si>
    <t>45,0</t>
  </si>
  <si>
    <t>125,0</t>
  </si>
  <si>
    <t>130,0</t>
  </si>
  <si>
    <t>135,0</t>
  </si>
  <si>
    <t>51,30</t>
  </si>
  <si>
    <t>120,0</t>
  </si>
  <si>
    <t>127,5</t>
  </si>
  <si>
    <t>50,0</t>
  </si>
  <si>
    <t>55,0</t>
  </si>
  <si>
    <t>57,5</t>
  </si>
  <si>
    <t>142,5</t>
  </si>
  <si>
    <t>150,0</t>
  </si>
  <si>
    <t>51,40</t>
  </si>
  <si>
    <t>110,0</t>
  </si>
  <si>
    <t>115,0</t>
  </si>
  <si>
    <t>52,00</t>
  </si>
  <si>
    <t>60,0</t>
  </si>
  <si>
    <t>62,5</t>
  </si>
  <si>
    <t>65,0</t>
  </si>
  <si>
    <t>112,5</t>
  </si>
  <si>
    <t>51,20</t>
  </si>
  <si>
    <t>107,5</t>
  </si>
  <si>
    <t>52,5</t>
  </si>
  <si>
    <t>49,10</t>
  </si>
  <si>
    <t>85,0</t>
  </si>
  <si>
    <t>90,0</t>
  </si>
  <si>
    <t>50,10</t>
  </si>
  <si>
    <t>50,60</t>
  </si>
  <si>
    <t>70,0</t>
  </si>
  <si>
    <t>35,0</t>
  </si>
  <si>
    <t>37,5</t>
  </si>
  <si>
    <t>102,5</t>
  </si>
  <si>
    <t>75,0</t>
  </si>
  <si>
    <t>42,5</t>
  </si>
  <si>
    <t>87,5</t>
  </si>
  <si>
    <t>50,20</t>
  </si>
  <si>
    <t>55,70</t>
  </si>
  <si>
    <t>117,5</t>
  </si>
  <si>
    <t>122,5</t>
  </si>
  <si>
    <t>72,5</t>
  </si>
  <si>
    <t>165,0</t>
  </si>
  <si>
    <t>172,5</t>
  </si>
  <si>
    <t>177,5</t>
  </si>
  <si>
    <t>54,90</t>
  </si>
  <si>
    <t>55,50</t>
  </si>
  <si>
    <t>92,5</t>
  </si>
  <si>
    <t>47,5</t>
  </si>
  <si>
    <t>56,00</t>
  </si>
  <si>
    <t>80,0</t>
  </si>
  <si>
    <t>54,60</t>
  </si>
  <si>
    <t>59,20</t>
  </si>
  <si>
    <t>140,0</t>
  </si>
  <si>
    <t>-</t>
  </si>
  <si>
    <t>57,60</t>
  </si>
  <si>
    <t>59,80</t>
  </si>
  <si>
    <t>77,5</t>
  </si>
  <si>
    <t>82,5</t>
  </si>
  <si>
    <t>58,10</t>
  </si>
  <si>
    <t>132,5</t>
  </si>
  <si>
    <t>57,00</t>
  </si>
  <si>
    <t>62,10</t>
  </si>
  <si>
    <t>65,60</t>
  </si>
  <si>
    <t>66,60</t>
  </si>
  <si>
    <t>67,5</t>
  </si>
  <si>
    <t>137,5</t>
  </si>
  <si>
    <t>67,50</t>
  </si>
  <si>
    <t>63,60</t>
  </si>
  <si>
    <t>64,20</t>
  </si>
  <si>
    <t>64,60</t>
  </si>
  <si>
    <t>65,20</t>
  </si>
  <si>
    <t>72,50</t>
  </si>
  <si>
    <t>69,00</t>
  </si>
  <si>
    <t>97,5</t>
  </si>
  <si>
    <t>68,90</t>
  </si>
  <si>
    <t>76,10</t>
  </si>
  <si>
    <t>79,50</t>
  </si>
  <si>
    <t>67,30</t>
  </si>
  <si>
    <t>200,0</t>
  </si>
  <si>
    <t>210,0</t>
  </si>
  <si>
    <t>216,0</t>
  </si>
  <si>
    <t>145,0</t>
  </si>
  <si>
    <t>197,5</t>
  </si>
  <si>
    <t>207,5</t>
  </si>
  <si>
    <t>66,80</t>
  </si>
  <si>
    <t>217,5</t>
  </si>
  <si>
    <t>222,5</t>
  </si>
  <si>
    <t>227,5</t>
  </si>
  <si>
    <t>67,10</t>
  </si>
  <si>
    <t>160,0</t>
  </si>
  <si>
    <t>170,0</t>
  </si>
  <si>
    <t>180,0</t>
  </si>
  <si>
    <t>195,0</t>
  </si>
  <si>
    <t>70,50</t>
  </si>
  <si>
    <t>155,0</t>
  </si>
  <si>
    <t>157,5</t>
  </si>
  <si>
    <t>71,10</t>
  </si>
  <si>
    <t>70,40</t>
  </si>
  <si>
    <t>71,40</t>
  </si>
  <si>
    <t>190,0</t>
  </si>
  <si>
    <t>202,5</t>
  </si>
  <si>
    <t>225,0</t>
  </si>
  <si>
    <t>74,20</t>
  </si>
  <si>
    <t>185,0</t>
  </si>
  <si>
    <t>192,5</t>
  </si>
  <si>
    <t>220,0</t>
  </si>
  <si>
    <t>72,10</t>
  </si>
  <si>
    <t>73,00</t>
  </si>
  <si>
    <t>78,20</t>
  </si>
  <si>
    <t>152,5</t>
  </si>
  <si>
    <t>205,0</t>
  </si>
  <si>
    <t>80,80</t>
  </si>
  <si>
    <t>79,70</t>
  </si>
  <si>
    <t>75,90</t>
  </si>
  <si>
    <t>82,50</t>
  </si>
  <si>
    <t>235,0</t>
  </si>
  <si>
    <t>245,0</t>
  </si>
  <si>
    <t>251,0</t>
  </si>
  <si>
    <t>147,5</t>
  </si>
  <si>
    <t>265,0</t>
  </si>
  <si>
    <t>270,0</t>
  </si>
  <si>
    <t>82,20</t>
  </si>
  <si>
    <t>215,0</t>
  </si>
  <si>
    <t>80,20</t>
  </si>
  <si>
    <t>175,0</t>
  </si>
  <si>
    <t>81,90</t>
  </si>
  <si>
    <t>212,5</t>
  </si>
  <si>
    <t>80,50</t>
  </si>
  <si>
    <t>85,40</t>
  </si>
  <si>
    <t>89,30</t>
  </si>
  <si>
    <t>87,60</t>
  </si>
  <si>
    <t>250,0</t>
  </si>
  <si>
    <t>257,5</t>
  </si>
  <si>
    <t>262,5</t>
  </si>
  <si>
    <t>255,0</t>
  </si>
  <si>
    <t>89,60</t>
  </si>
  <si>
    <t>230,0</t>
  </si>
  <si>
    <t>242,5</t>
  </si>
  <si>
    <t>88,90</t>
  </si>
  <si>
    <t>88,40</t>
  </si>
  <si>
    <t>89,80</t>
  </si>
  <si>
    <t>90,80</t>
  </si>
  <si>
    <t>98,20</t>
  </si>
  <si>
    <t>256,0</t>
  </si>
  <si>
    <t>95,70</t>
  </si>
  <si>
    <t>99,00</t>
  </si>
  <si>
    <t>240,0</t>
  </si>
  <si>
    <t>96,60</t>
  </si>
  <si>
    <t>105,50</t>
  </si>
  <si>
    <t>260,0</t>
  </si>
  <si>
    <t>275,0</t>
  </si>
  <si>
    <t>108,90</t>
  </si>
  <si>
    <t>107,90</t>
  </si>
  <si>
    <t>116,30</t>
  </si>
  <si>
    <t>63,00</t>
  </si>
  <si>
    <t>75,00</t>
  </si>
  <si>
    <t>74,80</t>
  </si>
  <si>
    <t>300,0</t>
  </si>
  <si>
    <t>89,40</t>
  </si>
  <si>
    <t>290,0</t>
  </si>
  <si>
    <t>320,0</t>
  </si>
  <si>
    <t>182,5</t>
  </si>
  <si>
    <t>187,5</t>
  </si>
  <si>
    <t>162,5</t>
  </si>
  <si>
    <t>285,0</t>
  </si>
  <si>
    <t>108,50</t>
  </si>
  <si>
    <t>107,50</t>
  </si>
  <si>
    <t>50,40</t>
  </si>
  <si>
    <t>59,40</t>
  </si>
  <si>
    <t>79,90</t>
  </si>
  <si>
    <t>87,90</t>
  </si>
  <si>
    <t>108,00</t>
  </si>
  <si>
    <t>106,70</t>
  </si>
  <si>
    <t>124,10</t>
  </si>
  <si>
    <t>335,0</t>
  </si>
  <si>
    <t>123,70</t>
  </si>
  <si>
    <t>138,60</t>
  </si>
  <si>
    <t>73,80</t>
  </si>
  <si>
    <t>109,10</t>
  </si>
  <si>
    <t>88,00</t>
  </si>
  <si>
    <t>98,10</t>
  </si>
  <si>
    <t>47,90</t>
  </si>
  <si>
    <t>47,60</t>
  </si>
  <si>
    <t>54,80</t>
  </si>
  <si>
    <t>54,00</t>
  </si>
  <si>
    <t>59,60</t>
  </si>
  <si>
    <t>65,90</t>
  </si>
  <si>
    <t>63,10</t>
  </si>
  <si>
    <t>73,20</t>
  </si>
  <si>
    <t>30,0</t>
  </si>
  <si>
    <t>69,50</t>
  </si>
  <si>
    <t>67,60</t>
  </si>
  <si>
    <t>77,40</t>
  </si>
  <si>
    <t>43,80</t>
  </si>
  <si>
    <t>66,50</t>
  </si>
  <si>
    <t>72,30</t>
  </si>
  <si>
    <t>74,00</t>
  </si>
  <si>
    <t>69,70</t>
  </si>
  <si>
    <t>80,10</t>
  </si>
  <si>
    <t>79,40</t>
  </si>
  <si>
    <t>81,10</t>
  </si>
  <si>
    <t>81,00</t>
  </si>
  <si>
    <t>80,90</t>
  </si>
  <si>
    <t>79,10</t>
  </si>
  <si>
    <t>83,30</t>
  </si>
  <si>
    <t>83,60</t>
  </si>
  <si>
    <t>88,20</t>
  </si>
  <si>
    <t>86,60</t>
  </si>
  <si>
    <t>85,10</t>
  </si>
  <si>
    <t>86,10</t>
  </si>
  <si>
    <t>87,00</t>
  </si>
  <si>
    <t>99,30</t>
  </si>
  <si>
    <t>97,50</t>
  </si>
  <si>
    <t>96,70</t>
  </si>
  <si>
    <t>99,10</t>
  </si>
  <si>
    <t>96,40</t>
  </si>
  <si>
    <t>107,00</t>
  </si>
  <si>
    <t>102,00</t>
  </si>
  <si>
    <t>109,40</t>
  </si>
  <si>
    <t>109,60</t>
  </si>
  <si>
    <t>110,00</t>
  </si>
  <si>
    <t>113,40</t>
  </si>
  <si>
    <t>121,70</t>
  </si>
  <si>
    <t>124,40</t>
  </si>
  <si>
    <t>124,50</t>
  </si>
  <si>
    <t>130,60</t>
  </si>
  <si>
    <t>133,60</t>
  </si>
  <si>
    <t>146,50</t>
  </si>
  <si>
    <t>Place</t>
  </si>
  <si>
    <t>Name</t>
  </si>
  <si>
    <t>Age Class
dob / age</t>
  </si>
  <si>
    <t>Country / City</t>
  </si>
  <si>
    <t>Bench Press</t>
  </si>
  <si>
    <t>Rec</t>
  </si>
  <si>
    <t>Result</t>
  </si>
  <si>
    <t>Total</t>
  </si>
  <si>
    <t>WEIGHT CLASS   48</t>
  </si>
  <si>
    <t>WEIGHT CLASS   52</t>
  </si>
  <si>
    <t>WEIGHT CLASS   56</t>
  </si>
  <si>
    <t>WEIGHT CLASS   60</t>
  </si>
  <si>
    <t>WEIGHT CLASS   67.5</t>
  </si>
  <si>
    <t>WEIGHT CLASS   75</t>
  </si>
  <si>
    <t>WEIGHT CLASS   82.5</t>
  </si>
  <si>
    <t>WEIGHT CLASS   90</t>
  </si>
  <si>
    <t>WEIGHT CLASS   100</t>
  </si>
  <si>
    <t>WEIGHT CLASS   110</t>
  </si>
  <si>
    <t>WEIGHT CLASS   125</t>
  </si>
  <si>
    <t>WEIGHT CLASS   140</t>
  </si>
  <si>
    <t>WEIGHT CLASS   140+</t>
  </si>
  <si>
    <t>Own bw</t>
  </si>
  <si>
    <t>Open (07.12.1997)/24</t>
  </si>
  <si>
    <t>Open (02.07.1989)/32</t>
  </si>
  <si>
    <t>Open (03.06.1980)/41</t>
  </si>
  <si>
    <t>Open (10.09.1983)/38</t>
  </si>
  <si>
    <t>Open (28.02.1993)/29</t>
  </si>
  <si>
    <t>Open (03.07.1973)/48</t>
  </si>
  <si>
    <t>Open (28.11.1995)/26</t>
  </si>
  <si>
    <t>Open (06.03.1983)/39</t>
  </si>
  <si>
    <t>Open (17.04.1987)/35</t>
  </si>
  <si>
    <t>Open (15.12.1990)/31</t>
  </si>
  <si>
    <t>Open (13.09.1994)/27</t>
  </si>
  <si>
    <t>Open (28.02.1979)/43</t>
  </si>
  <si>
    <t>Open (28.11.1991)/30</t>
  </si>
  <si>
    <t>Open (10.06.1985)/36</t>
  </si>
  <si>
    <t>Open (27.02.1992)/30</t>
  </si>
  <si>
    <t>Open (21.03.1998)/24</t>
  </si>
  <si>
    <t>Open (11.05.1982)/40</t>
  </si>
  <si>
    <t>Open (05.02.1999)/23</t>
  </si>
  <si>
    <t>Open (21.08.1994)/27</t>
  </si>
  <si>
    <t>Open (09.07.1982)/39</t>
  </si>
  <si>
    <t>Open (19.11.1993)/28</t>
  </si>
  <si>
    <t>Open (29.08.1997)/24</t>
  </si>
  <si>
    <t>Open (19.12.1989)/32</t>
  </si>
  <si>
    <t>Open (20.03.1973)/49</t>
  </si>
  <si>
    <t>Open (30.05.1976)/45</t>
  </si>
  <si>
    <t>Open (15.08.1993)/28</t>
  </si>
  <si>
    <t>Open (19.04.1987)/35</t>
  </si>
  <si>
    <t>Open (12.03.1994)/28</t>
  </si>
  <si>
    <t>Open (13.07.1987)/34</t>
  </si>
  <si>
    <t>Open (01.04.2001)/21</t>
  </si>
  <si>
    <t>Open (17.05.1989)/32</t>
  </si>
  <si>
    <t>Open (26.10.1979)/42</t>
  </si>
  <si>
    <t>Open (28.09.1990)/31</t>
  </si>
  <si>
    <t>Open (02.06.1989)/32</t>
  </si>
  <si>
    <t>Open (26.05.1990)/31</t>
  </si>
  <si>
    <t>Open (09.11.1981)/40</t>
  </si>
  <si>
    <t>Open (05.08.1988)/33</t>
  </si>
  <si>
    <t>Open (18.03.1981)/41</t>
  </si>
  <si>
    <t>Open (24.05.1993)/28</t>
  </si>
  <si>
    <t>Open (06.02.1986)/36</t>
  </si>
  <si>
    <t>Open (22.08.1964)/57</t>
  </si>
  <si>
    <t>Open (20.11.1985)/36</t>
  </si>
  <si>
    <t>Open (01.09.1993)/28</t>
  </si>
  <si>
    <t>Open (07.06.1991)/30</t>
  </si>
  <si>
    <t>Open (08.08.1988)/33</t>
  </si>
  <si>
    <t>Open (19.04.1996)/26</t>
  </si>
  <si>
    <t>Open (01.07.1995)/26</t>
  </si>
  <si>
    <t>Open (21.03.1983)/39</t>
  </si>
  <si>
    <t>Open (05.11.1987)/34</t>
  </si>
  <si>
    <t>Open (13.06.1995)/26</t>
  </si>
  <si>
    <t>Open (21.01.1989)/33</t>
  </si>
  <si>
    <t>Open (27.04.1996)/26</t>
  </si>
  <si>
    <t>Open (10.01.1983)/39</t>
  </si>
  <si>
    <t>Open (27.09.1996)/25</t>
  </si>
  <si>
    <t>Open (04.06.1997)/24</t>
  </si>
  <si>
    <t>Open (02.10.1976)/45</t>
  </si>
  <si>
    <t>Open (06.11.1987)/34</t>
  </si>
  <si>
    <t>Open (12.08.1983)/38</t>
  </si>
  <si>
    <t>Open (03.01.1991)/31</t>
  </si>
  <si>
    <t>Open (21.05.1989)/32</t>
  </si>
  <si>
    <t>Open (31.07.2009)/12</t>
  </si>
  <si>
    <t>Open (30.05.1989)/32</t>
  </si>
  <si>
    <t>Open (23.12.1977)/44</t>
  </si>
  <si>
    <t>Open (28.06.1983)/38</t>
  </si>
  <si>
    <t>Open (30.10.1990)/31</t>
  </si>
  <si>
    <t>Open (09.05.1998)/24</t>
  </si>
  <si>
    <t>Open (21.12.1994)/27</t>
  </si>
  <si>
    <t>Open (15.07.1982)/39</t>
  </si>
  <si>
    <t>Open (19.06.1977)/44</t>
  </si>
  <si>
    <t>Open (06.05.1980)/42</t>
  </si>
  <si>
    <t>Open (25.07.1983)/38</t>
  </si>
  <si>
    <t>Open (04.02.1993)/29</t>
  </si>
  <si>
    <t>Open (29.07.1995)/26</t>
  </si>
  <si>
    <t>Open (18.12.1992)/29</t>
  </si>
  <si>
    <t>Open (23.12.1989)/32</t>
  </si>
  <si>
    <t>Open (21.03.2002)/20</t>
  </si>
  <si>
    <t>Open (20.12.1995)/26</t>
  </si>
  <si>
    <t>Open (30.07.1988)/33</t>
  </si>
  <si>
    <t>Open (25.10.1990)/31</t>
  </si>
  <si>
    <t>Open (10.07.1996)/25</t>
  </si>
  <si>
    <t>Open (22.01.1996)/26</t>
  </si>
  <si>
    <t>Open (22.05.1987)/34</t>
  </si>
  <si>
    <t>Open (05.08.1990)/31</t>
  </si>
  <si>
    <t>Open (24.07.1994)/27</t>
  </si>
  <si>
    <t>Open (16.08.1986)/35</t>
  </si>
  <si>
    <t>Open (18.05.1983)/38</t>
  </si>
  <si>
    <t>Open (04.06.1987)/34</t>
  </si>
  <si>
    <t>Open (09.10.1995)/26</t>
  </si>
  <si>
    <t>Open (29.04.1994)/28</t>
  </si>
  <si>
    <t>Open (08.05.1976)/46</t>
  </si>
  <si>
    <t>Open (02.06.1986)/35</t>
  </si>
  <si>
    <t>Open (12.02.1987)/35</t>
  </si>
  <si>
    <t>Open (11.12.1993)/28</t>
  </si>
  <si>
    <t>Open (11.04.1992)/30</t>
  </si>
  <si>
    <t>Open (14.02.1996)/26</t>
  </si>
  <si>
    <t>Open (07.01.1994)/28</t>
  </si>
  <si>
    <t>Open (08.08.1983)/38</t>
  </si>
  <si>
    <t>Open (04.01.1979)/43</t>
  </si>
  <si>
    <t>Open (03.01.1984)/38</t>
  </si>
  <si>
    <t>Open (18.10.1973)/48</t>
  </si>
  <si>
    <t>Masters 40-44 (03.06.1980)/41</t>
  </si>
  <si>
    <t>Masters 40-44 (06.08.1978)/43</t>
  </si>
  <si>
    <t>Masters 45-49 (03.07.1973)/48</t>
  </si>
  <si>
    <t>Masters 40-44 (11.05.1982)/40</t>
  </si>
  <si>
    <t>Masters 45-49 (24.10.1975)/46</t>
  </si>
  <si>
    <t>Masters 45-49 (30.05.1976)/45</t>
  </si>
  <si>
    <t>Masters 45-49 (05.01.1975)/47</t>
  </si>
  <si>
    <t>Masters 40-44 (30.08.1979)/42</t>
  </si>
  <si>
    <t>Masters 45-49 (20.11.1975)/46</t>
  </si>
  <si>
    <t>Masters 45-49 (07.07.1975)/46</t>
  </si>
  <si>
    <t>Masters 45-49 (06.10.1973)/48</t>
  </si>
  <si>
    <t>Masters 45-49 (25.08.1976)/45</t>
  </si>
  <si>
    <t>Masters 50-54 (07.02.1969)/53</t>
  </si>
  <si>
    <t>Masters 55-59 (22.08.1964)/57</t>
  </si>
  <si>
    <t>Masters 40-44 (01.06.1979)/42</t>
  </si>
  <si>
    <t>Masters 40-44 (21.09.1981)/40</t>
  </si>
  <si>
    <t>Masters 40-44 (19.06.1977)/44</t>
  </si>
  <si>
    <t>Masters 40-44 (24.12.1977)/44</t>
  </si>
  <si>
    <t>Masters 45-49 (21.05.1976)/45</t>
  </si>
  <si>
    <t>Masters 55-59 (01.11.1966)/55</t>
  </si>
  <si>
    <t>Masters 60-64 (25.05.1957)/64</t>
  </si>
  <si>
    <t>Masters 40-44 (02.10.1978)/43</t>
  </si>
  <si>
    <t>Masters 45-49 (19.05.1973)/48</t>
  </si>
  <si>
    <t>Masters 40-44 (07.11.1979)/42</t>
  </si>
  <si>
    <t>Masters 55-59 (30.05.1963)/58</t>
  </si>
  <si>
    <t>Masters 60-64 (27.08.1961)/60</t>
  </si>
  <si>
    <t>Masters 75-79 (12.03.1945)/77</t>
  </si>
  <si>
    <t>Masters 45-49 (08.05.1976)/46</t>
  </si>
  <si>
    <t>Masters 50-54 (07.09.1971)/50</t>
  </si>
  <si>
    <t>Masters 45-49 (08.03.1975)/47</t>
  </si>
  <si>
    <t>Masters 55-59 (26.08.1962)/59</t>
  </si>
  <si>
    <t>Masters 60-64 (27.03.1959)/63</t>
  </si>
  <si>
    <t>Masters 55-59 (03.04.1964)/58</t>
  </si>
  <si>
    <t>Masters 45-49 (18.10.1973)/48</t>
  </si>
  <si>
    <t>Masters 40-44 (18.05.1981)/40</t>
  </si>
  <si>
    <t>Junior 15-19 (13.10.2004)/17</t>
  </si>
  <si>
    <t>Junior 15-19 (16.09.2004)/17</t>
  </si>
  <si>
    <t>Junior 20-23 (25.08.1999)/22</t>
  </si>
  <si>
    <t>Junior 20-23 (11.10.1999)/22</t>
  </si>
  <si>
    <t>Junior 20-23 (30.01.2000)/22</t>
  </si>
  <si>
    <t>Junior 15-19 (23.07.2007)/14</t>
  </si>
  <si>
    <t>Junior 15-19 (30.06.2004)/17</t>
  </si>
  <si>
    <t>Junior 15-19 (27.05.2004)/17</t>
  </si>
  <si>
    <t>Junior 15-19 (22.12.2003)/18</t>
  </si>
  <si>
    <t>Junior 15-19 (26.09.2006)/15</t>
  </si>
  <si>
    <t>Junior 15-19 (09.12.2003)/18</t>
  </si>
  <si>
    <t>Junior 15-19 (14.08.2002)/19</t>
  </si>
  <si>
    <t>Junior 15-19 (04.05.2004)/18</t>
  </si>
  <si>
    <t>Junior 15-19 (14.03.2006)/16</t>
  </si>
  <si>
    <t>Junior 15-19 (28.09.2009)/12</t>
  </si>
  <si>
    <t>Junior 15-19 (12.08.2005)/16</t>
  </si>
  <si>
    <t>Junior 15-19 (19.03.2003)/19</t>
  </si>
  <si>
    <t>Junior 15-19 (29.05.2002)/19</t>
  </si>
  <si>
    <t>Junior 15-19 (02.10.2007)/14</t>
  </si>
  <si>
    <t>Junior 15-19 (31.10.2005)/16</t>
  </si>
  <si>
    <t>Junior 20-23 (01.04.2001)/21</t>
  </si>
  <si>
    <t>Junior 20-23 (10.06.2000)/21</t>
  </si>
  <si>
    <t>Junior 20-23 (11.05.2000)/22</t>
  </si>
  <si>
    <t>Junior 20-23 (21.12.1999)/22</t>
  </si>
  <si>
    <t>Junior 20-23 (10.09.1998)/23</t>
  </si>
  <si>
    <t>Junior 20-23 (08.11.2000)/21</t>
  </si>
  <si>
    <t>Junior 20-23 (15.02.2000)/22</t>
  </si>
  <si>
    <t>Junior 20-23 (21.03.2002)/20</t>
  </si>
  <si>
    <t>Junior 20-23 (01.02.2002)/20</t>
  </si>
  <si>
    <t>Junior 20-23 (29.03.1999)/23</t>
  </si>
  <si>
    <t>Junior 20-23 (03.03.2000)/22</t>
  </si>
  <si>
    <t>Squat</t>
  </si>
  <si>
    <t>Deadlift</t>
  </si>
  <si>
    <t xml:space="preserve">Russia / Moscow </t>
  </si>
  <si>
    <t xml:space="preserve">Russia / Dmitrov </t>
  </si>
  <si>
    <t xml:space="preserve">Russia / Norilsk </t>
  </si>
  <si>
    <t xml:space="preserve">Russia / Egorievsk </t>
  </si>
  <si>
    <t xml:space="preserve">Russia / Orel </t>
  </si>
  <si>
    <t xml:space="preserve">Russia / Kemerovo </t>
  </si>
  <si>
    <t xml:space="preserve">Russia / Zhizdra </t>
  </si>
  <si>
    <t xml:space="preserve">Russia / Serpukhov </t>
  </si>
  <si>
    <t xml:space="preserve">Russia / Melenki </t>
  </si>
  <si>
    <t xml:space="preserve">Russia / Solnechnogorsk </t>
  </si>
  <si>
    <t xml:space="preserve">Russia / Khabarovsk </t>
  </si>
  <si>
    <t xml:space="preserve">Russia / Snezhinsk </t>
  </si>
  <si>
    <t xml:space="preserve">Russia / Khimki </t>
  </si>
  <si>
    <t xml:space="preserve">Russia / Prokopevsk </t>
  </si>
  <si>
    <t xml:space="preserve">Russia / Zarechniy </t>
  </si>
  <si>
    <t xml:space="preserve">Russia / Domodedovo </t>
  </si>
  <si>
    <t xml:space="preserve">Russia / Klin </t>
  </si>
  <si>
    <t xml:space="preserve">Russia / Kazan </t>
  </si>
  <si>
    <t xml:space="preserve">Russia / Staraya Kupavna </t>
  </si>
  <si>
    <t xml:space="preserve">Russia / Kireevsk </t>
  </si>
  <si>
    <t xml:space="preserve">Russia / Ramenskoe </t>
  </si>
  <si>
    <t xml:space="preserve">Russia / Sochi </t>
  </si>
  <si>
    <t xml:space="preserve">Russia / Tula </t>
  </si>
  <si>
    <t xml:space="preserve">Russia / Bryansk </t>
  </si>
  <si>
    <t xml:space="preserve">Russia / Makhachkala </t>
  </si>
  <si>
    <t xml:space="preserve">Russia / Bilibino </t>
  </si>
  <si>
    <t xml:space="preserve">Russia / Pokrov </t>
  </si>
  <si>
    <t xml:space="preserve">Russia / Ryazan </t>
  </si>
  <si>
    <t xml:space="preserve">Russia / Lobnya </t>
  </si>
  <si>
    <t xml:space="preserve">Russia / Syktyvkar </t>
  </si>
  <si>
    <t xml:space="preserve">Russia / Kubinka </t>
  </si>
  <si>
    <t xml:space="preserve">Russia / Smolensk </t>
  </si>
  <si>
    <t xml:space="preserve">Russia / Podolsk </t>
  </si>
  <si>
    <t xml:space="preserve">Russia / Liubertsy </t>
  </si>
  <si>
    <t xml:space="preserve">Russia / Tver </t>
  </si>
  <si>
    <t xml:space="preserve">Russia / Stavropol </t>
  </si>
  <si>
    <t xml:space="preserve">Russia / Kovrov </t>
  </si>
  <si>
    <t xml:space="preserve">Russia / Kulunda </t>
  </si>
  <si>
    <t xml:space="preserve">Russia / Perm </t>
  </si>
  <si>
    <t xml:space="preserve">Russia / Schelkovo </t>
  </si>
  <si>
    <t xml:space="preserve">Russia / Torzhok </t>
  </si>
  <si>
    <t xml:space="preserve">Russia / Odintsovo </t>
  </si>
  <si>
    <t xml:space="preserve">Russia / Zelenograd </t>
  </si>
  <si>
    <t xml:space="preserve">Russia / Yaroslavl </t>
  </si>
  <si>
    <t xml:space="preserve">Russia / Nizhniy Novgorod </t>
  </si>
  <si>
    <t xml:space="preserve">Russia / Reutov </t>
  </si>
  <si>
    <t xml:space="preserve">Russia / Saratov </t>
  </si>
  <si>
    <t xml:space="preserve">Russia / Chekhov </t>
  </si>
  <si>
    <t xml:space="preserve">Russia / Vladikavkaz </t>
  </si>
  <si>
    <t>Russia / Naro-Fominsk</t>
  </si>
  <si>
    <t xml:space="preserve">Russia / Vladivostok </t>
  </si>
  <si>
    <t xml:space="preserve">Russia / Vidnoe </t>
  </si>
  <si>
    <t xml:space="preserve">Russia / Nakhabino </t>
  </si>
  <si>
    <t xml:space="preserve">Russia / Volgodonsk </t>
  </si>
  <si>
    <t xml:space="preserve">Russia / Syzran </t>
  </si>
  <si>
    <t xml:space="preserve">Russia / Dolgoprudniy </t>
  </si>
  <si>
    <t xml:space="preserve">Russia / Bolshoiy Kamen </t>
  </si>
  <si>
    <t xml:space="preserve">Russia / Bugulma </t>
  </si>
  <si>
    <t xml:space="preserve">Russia / Mozhaiysk </t>
  </si>
  <si>
    <t xml:space="preserve">Russia / Kostroma </t>
  </si>
  <si>
    <t>Zhilina Yana</t>
  </si>
  <si>
    <t>Nikolaev Oleg</t>
  </si>
  <si>
    <t>Mokin Roman</t>
  </si>
  <si>
    <t>Rodionov Evgeniiy</t>
  </si>
  <si>
    <t>Bakalov Gleb</t>
  </si>
  <si>
    <t>Dikopavlenko Vadim</t>
  </si>
  <si>
    <t>Yarmolenko Irina</t>
  </si>
  <si>
    <t>Karpov Evgeniiy</t>
  </si>
  <si>
    <t>Ivannikov Sergeiy</t>
  </si>
  <si>
    <t>Vladimirov Evgeniiy</t>
  </si>
  <si>
    <t>Odegov Sergeiy</t>
  </si>
  <si>
    <t>Fliorova Anna</t>
  </si>
  <si>
    <t>Cherneiykin Sergeiy</t>
  </si>
  <si>
    <t>Sokol Andreiy</t>
  </si>
  <si>
    <t>Omarov Magomed</t>
  </si>
  <si>
    <t>Klimenko Vladimir</t>
  </si>
  <si>
    <t>Shamin Georgiiy</t>
  </si>
  <si>
    <t>Kripak Sergeiy</t>
  </si>
  <si>
    <t>Yakovenko Vladimir</t>
  </si>
  <si>
    <t>Sorokin Pavel</t>
  </si>
  <si>
    <t>Orlova Oksana</t>
  </si>
  <si>
    <t>Ivanova Oksana</t>
  </si>
  <si>
    <t>Paranosenkova Galina</t>
  </si>
  <si>
    <t>Fedoseiykina Nadezhda</t>
  </si>
  <si>
    <t>Rec Aleksandr</t>
  </si>
  <si>
    <t>Gerasimenko Andreiy</t>
  </si>
  <si>
    <t>Zheleiyko Alekseiy</t>
  </si>
  <si>
    <t>Shirkov Maksim</t>
  </si>
  <si>
    <t>Gerasimenko Oleg</t>
  </si>
  <si>
    <t>Aleksandrov Andreiy</t>
  </si>
  <si>
    <t>Aliev Ramazan-Ismail</t>
  </si>
  <si>
    <t>Abramov Maksim</t>
  </si>
  <si>
    <t>Kaminskiiy Evgeniiy</t>
  </si>
  <si>
    <t>Avanesov Sergeiy</t>
  </si>
  <si>
    <t>Gorbanev Aleksandr</t>
  </si>
  <si>
    <t>Fedosov Evgeniiy</t>
  </si>
  <si>
    <t>Maslennikov Nikolaiy</t>
  </si>
  <si>
    <t>Shpak Yaroslav</t>
  </si>
  <si>
    <t>Polikarpov Aleksandr</t>
  </si>
  <si>
    <t>Kornilov Alekseiy</t>
  </si>
  <si>
    <t>Panin Aleksandr</t>
  </si>
  <si>
    <t>Shabalin Aleksandr</t>
  </si>
  <si>
    <t>Telepnev Vladislav</t>
  </si>
  <si>
    <t>Shpagin Maksim</t>
  </si>
  <si>
    <t>Bader Maksim</t>
  </si>
  <si>
    <t>Krasnobaev Daniil</t>
  </si>
  <si>
    <t>Elsakov Konstantin</t>
  </si>
  <si>
    <t>Kostin Anton</t>
  </si>
  <si>
    <t>Kratt Nikita</t>
  </si>
  <si>
    <t>Galaktionov Dmitriiy</t>
  </si>
  <si>
    <t>Lopatina Elena</t>
  </si>
  <si>
    <t>Kharina Valentina</t>
  </si>
  <si>
    <t>Sidorkin Dmitriiy</t>
  </si>
  <si>
    <t>Litvinov Viktor</t>
  </si>
  <si>
    <t>Fedotov Oleg</t>
  </si>
  <si>
    <t>Plotnikov German</t>
  </si>
  <si>
    <t>Novikov Dmitriiy</t>
  </si>
  <si>
    <t>Gavrin Nikita</t>
  </si>
  <si>
    <t>Chuprakova Ekaterina</t>
  </si>
  <si>
    <t>Chuprov Alekseiy</t>
  </si>
  <si>
    <t>Arzumanov Sergeiy</t>
  </si>
  <si>
    <t>Berkun Oleg</t>
  </si>
  <si>
    <t>Trunov Oleg</t>
  </si>
  <si>
    <t>Zulpukarova Olmaskan</t>
  </si>
  <si>
    <t>Sokurov Georgiiy</t>
  </si>
  <si>
    <t>Krikunov Iuriiy</t>
  </si>
  <si>
    <t>Bulatov Denis</t>
  </si>
  <si>
    <t>Bulanov Alekseiy</t>
  </si>
  <si>
    <t>Namazov Ruslan</t>
  </si>
  <si>
    <t>Chubarov Vladimir</t>
  </si>
  <si>
    <t>Parfionov Dmitriiy</t>
  </si>
  <si>
    <t>Nikiforov Aleksandr</t>
  </si>
  <si>
    <t>Shikh Anna</t>
  </si>
  <si>
    <t>Likhovod Elizaveta</t>
  </si>
  <si>
    <t>Malakhov Alekseiy</t>
  </si>
  <si>
    <t>Potekhin Sergeiy</t>
  </si>
  <si>
    <t>Dolgikh Andreiy</t>
  </si>
  <si>
    <t>Tikhienko Anton</t>
  </si>
  <si>
    <t>Kuznetsov Vladislav</t>
  </si>
  <si>
    <t>Kuznetsova Luiza</t>
  </si>
  <si>
    <t>Raskachnova Irina</t>
  </si>
  <si>
    <t>Goncharov Maksim</t>
  </si>
  <si>
    <t>Molchanov Andreiy</t>
  </si>
  <si>
    <t>Doberchuk Vladimir</t>
  </si>
  <si>
    <t>Raskachnov Vladimir</t>
  </si>
  <si>
    <t>Bogachev Andreiy</t>
  </si>
  <si>
    <t>Klochkov Viktor</t>
  </si>
  <si>
    <t>Lapshin Artiom</t>
  </si>
  <si>
    <t>Pershin Andreiy</t>
  </si>
  <si>
    <t>Reshetov Vladimir</t>
  </si>
  <si>
    <t>Reshetnikov Bogdan</t>
  </si>
  <si>
    <t>Koktash Alekseiy</t>
  </si>
  <si>
    <t>Krivoshein Daniil</t>
  </si>
  <si>
    <t>Muschinkina Elena</t>
  </si>
  <si>
    <t>Grischenko Dmitriiy</t>
  </si>
  <si>
    <t>Ivaschenko Alekseiy</t>
  </si>
  <si>
    <t>Pedurets Alena</t>
  </si>
  <si>
    <t>Bitiukov Sergeiy</t>
  </si>
  <si>
    <t>Kriukov Vladislav</t>
  </si>
  <si>
    <t>Lopukhova Mariya</t>
  </si>
  <si>
    <t>Kinzhagulova Liliya</t>
  </si>
  <si>
    <t>Schastlivaya Veronika</t>
  </si>
  <si>
    <t>Balyakina Evgeniya</t>
  </si>
  <si>
    <t>Dubinina Anastasiya</t>
  </si>
  <si>
    <t>Repina Anastasiya</t>
  </si>
  <si>
    <t>Bogatenkova Anastasiya</t>
  </si>
  <si>
    <t>Tumanova Viktoriya</t>
  </si>
  <si>
    <t>Yadrikhinskaya Mariya</t>
  </si>
  <si>
    <t>Bruleva Evgeniya</t>
  </si>
  <si>
    <t>Gadetskaya Mariya</t>
  </si>
  <si>
    <t>Roslyakov Vladislav</t>
  </si>
  <si>
    <t>Kupriyanov Mikhail</t>
  </si>
  <si>
    <t>Balyasina Evgeniya</t>
  </si>
  <si>
    <t>Averina Mariya</t>
  </si>
  <si>
    <t>Maskaeva Vitaliya</t>
  </si>
  <si>
    <t>Zhelyabovskiiy Dmitriiy</t>
  </si>
  <si>
    <t>Ryabov Vadim</t>
  </si>
  <si>
    <t>Arutiunyan Georgiiy</t>
  </si>
  <si>
    <t>Rybalkin Vladislav</t>
  </si>
  <si>
    <t>Zagrivyiy Egor</t>
  </si>
  <si>
    <t>Tolstykh Potap</t>
  </si>
  <si>
    <t>Bychkov Alekseiy</t>
  </si>
  <si>
    <t>Nasyrova Anzhelika</t>
  </si>
  <si>
    <t>Chernysheva Ekaterina</t>
  </si>
  <si>
    <t>Ryzhkov Evgeniiy</t>
  </si>
  <si>
    <t>Krylov Arkadiiy</t>
  </si>
  <si>
    <t>Sychev Oleg</t>
  </si>
  <si>
    <t>Panshina Tatyana</t>
  </si>
  <si>
    <t>Zakharova Olga</t>
  </si>
  <si>
    <t>Dubinina Tatyana</t>
  </si>
  <si>
    <t>Kolesnikova Olga</t>
  </si>
  <si>
    <t>Khusnutdinova Natalya</t>
  </si>
  <si>
    <t>Kuzovova Tatyana</t>
  </si>
  <si>
    <t>Durneva Darya</t>
  </si>
  <si>
    <t>Rzhevskaya Olga</t>
  </si>
  <si>
    <t>Shibanova Natalya</t>
  </si>
  <si>
    <t>Cherkasova Natalya</t>
  </si>
  <si>
    <t>Ilyasova Elena</t>
  </si>
  <si>
    <t>Gordeeva Darya</t>
  </si>
  <si>
    <t>Shuvalova Tatyana</t>
  </si>
  <si>
    <t>Kondratev Egor</t>
  </si>
  <si>
    <t>Barbe Aleksandr</t>
  </si>
  <si>
    <t>Vorobev Maksim</t>
  </si>
  <si>
    <t>Serova Olga</t>
  </si>
  <si>
    <t>Vinogradova Darya</t>
  </si>
  <si>
    <t>Krasilnikova Yana</t>
  </si>
  <si>
    <t>Popova Liubov</t>
  </si>
  <si>
    <t>Grigoreva Svetlana</t>
  </si>
  <si>
    <t>Rylskaya Irina</t>
  </si>
  <si>
    <t>Marchenko Olga</t>
  </si>
  <si>
    <t>Sukhanov Igor</t>
  </si>
  <si>
    <t>Kuzmin Alekseiy</t>
  </si>
  <si>
    <t>Evseev Igor</t>
  </si>
  <si>
    <t>Senkin Stanislav</t>
  </si>
  <si>
    <t>Melnikov Alekseiy</t>
  </si>
  <si>
    <t>Emelyanov Kirill</t>
  </si>
  <si>
    <t>WOMEN</t>
  </si>
  <si>
    <t>MEN</t>
  </si>
  <si>
    <t>IPL-D European Championship 2022, Olympia Pro Powerlifting Qualification
Powerlifting Raw
Russia / Dolgoprudniy. May 13, 2022</t>
  </si>
  <si>
    <t>IPL-D European Championship 2022, Olympia Pro Powerlifting Qualification
Powerlifting Classic (Wraps)
Russia / Dolgoprudniy. May 13, 2022</t>
  </si>
  <si>
    <t>IPL-D European Championship 2022, Olympia Pro Powerlifting Qualification
Powerlifting Single Ply
Russia / Dolgoprudniy. May 13, 2022</t>
  </si>
  <si>
    <t>IPL-D European Championship 2022, Olympia Pro Powerlifting Qualification
Bench Press Raw
Russia / Dolgoprudniy. May 13, 2022</t>
  </si>
  <si>
    <t>IPL-D European Championship 2022, Olympia Pro Powerlifting Qualification
Bench Press Single Ply
Russia / Dolgoprudniy. May 13, 2022</t>
  </si>
  <si>
    <t>IPL European Championship 2022, Olympia Pro Powerlifting Qualification
Powerlifting Raw
Russia / Dolgoprudniy. May 14, 2022</t>
  </si>
  <si>
    <t>Mishina Alla</t>
  </si>
  <si>
    <t>Open (10.04.1989)/33</t>
  </si>
  <si>
    <t xml:space="preserve">Russia / Raduzhniy </t>
  </si>
  <si>
    <t>Dolbenkov Viktor</t>
  </si>
  <si>
    <t>Junior 15-19 (22.07.2003)/18</t>
  </si>
  <si>
    <t>50,50</t>
  </si>
  <si>
    <t xml:space="preserve">Russia / Elektostal </t>
  </si>
  <si>
    <t>Minaev Aleksandr</t>
  </si>
  <si>
    <t>Open (01.08.1993)/28</t>
  </si>
  <si>
    <t>272,5</t>
  </si>
  <si>
    <t>Smirnov Vitaliiy</t>
  </si>
  <si>
    <t>Open (17.11.1987)/34</t>
  </si>
  <si>
    <t>73,50</t>
  </si>
  <si>
    <t xml:space="preserve">Russia / Rybinsk </t>
  </si>
  <si>
    <t>Mitin Andreiy</t>
  </si>
  <si>
    <t>Masters 50-54 (04.04.1970)/52</t>
  </si>
  <si>
    <t>Zubkov Pavel</t>
  </si>
  <si>
    <t>Open (22.12.1985)/36</t>
  </si>
  <si>
    <t>280,0</t>
  </si>
  <si>
    <t>310,0</t>
  </si>
  <si>
    <t>Raspopov Maksim</t>
  </si>
  <si>
    <t>Open (11.07.1992)/29</t>
  </si>
  <si>
    <t>81,60</t>
  </si>
  <si>
    <t xml:space="preserve">Russia / Tolyatti </t>
  </si>
  <si>
    <t>Kim Nikolaiy</t>
  </si>
  <si>
    <t>Junior 20-23 (01.01.2000)/22</t>
  </si>
  <si>
    <t>Khomenko Roman</t>
  </si>
  <si>
    <t>Open (22.10.1996)/25</t>
  </si>
  <si>
    <t>90,00</t>
  </si>
  <si>
    <t>305,0</t>
  </si>
  <si>
    <t>Kovalevskiiy Georgiiy</t>
  </si>
  <si>
    <t>Open (28.10.1997)/24</t>
  </si>
  <si>
    <t xml:space="preserve">Russia / Monino </t>
  </si>
  <si>
    <t>167,5</t>
  </si>
  <si>
    <t>Spiridonov Stepan</t>
  </si>
  <si>
    <t>Open (21.12.1993)/28</t>
  </si>
  <si>
    <t>89,20</t>
  </si>
  <si>
    <t>Burkovskiiy Viktor</t>
  </si>
  <si>
    <t>Open (19.01.1990)/32</t>
  </si>
  <si>
    <t>89,00</t>
  </si>
  <si>
    <t>Markov Anatoliiy</t>
  </si>
  <si>
    <t>Masters 70-74 (13.01.1951)/71</t>
  </si>
  <si>
    <t>Kochetkov Kirill</t>
  </si>
  <si>
    <t>Junior 15-19 (27.12.2006)/15</t>
  </si>
  <si>
    <t>92,80</t>
  </si>
  <si>
    <t xml:space="preserve">Russia / Noginsk </t>
  </si>
  <si>
    <t>Chumaev Andreiy</t>
  </si>
  <si>
    <t>Open (26.08.1979)/42</t>
  </si>
  <si>
    <t>92,70</t>
  </si>
  <si>
    <t>Deniskin Sergeiy</t>
  </si>
  <si>
    <t>Open (28.08.1995)/26</t>
  </si>
  <si>
    <t>100,00</t>
  </si>
  <si>
    <t>Nikolaev Artem</t>
  </si>
  <si>
    <t>Open (01.06.1987)/34</t>
  </si>
  <si>
    <t>95,50</t>
  </si>
  <si>
    <t>237,5</t>
  </si>
  <si>
    <t>Kostolomov Dmitriiy</t>
  </si>
  <si>
    <t>Open (12.12.1991)/30</t>
  </si>
  <si>
    <t>94,20</t>
  </si>
  <si>
    <t xml:space="preserve">Russia / Istra </t>
  </si>
  <si>
    <t>Askerov Farid</t>
  </si>
  <si>
    <t>Open (20.12.1986)/35</t>
  </si>
  <si>
    <t>93,80</t>
  </si>
  <si>
    <t>Grinev Dmitriiy</t>
  </si>
  <si>
    <t>Masters 40-44 (16.05.1977)/44</t>
  </si>
  <si>
    <t>97,40</t>
  </si>
  <si>
    <t xml:space="preserve">Russia / Belgorod </t>
  </si>
  <si>
    <t>Sobolev Stanislav</t>
  </si>
  <si>
    <t>Open (14.12.1989)/32</t>
  </si>
  <si>
    <t>106,50</t>
  </si>
  <si>
    <t>Gevorkov Aram</t>
  </si>
  <si>
    <t>Open (19.05.1990)/31</t>
  </si>
  <si>
    <t xml:space="preserve">Russia / Solikamsk </t>
  </si>
  <si>
    <t>Shmakov Ivan</t>
  </si>
  <si>
    <t>Open (01.10.1988)/33</t>
  </si>
  <si>
    <t>101,50</t>
  </si>
  <si>
    <t>Rzhankov Vladimir</t>
  </si>
  <si>
    <t>Masters 60-64 (03.05.1962)/60</t>
  </si>
  <si>
    <t xml:space="preserve">Russia / Kondopoga </t>
  </si>
  <si>
    <t>Cherepkov Alekseiy</t>
  </si>
  <si>
    <t>Open (09.06.1988)/33</t>
  </si>
  <si>
    <t>116,40</t>
  </si>
  <si>
    <t>315,0</t>
  </si>
  <si>
    <t>325,0</t>
  </si>
  <si>
    <t>Zagorodniuk Ivan</t>
  </si>
  <si>
    <t>Open (02.05.1997)/25</t>
  </si>
  <si>
    <t>117,90</t>
  </si>
  <si>
    <t>295,0</t>
  </si>
  <si>
    <t>Tulyakov Nikita</t>
  </si>
  <si>
    <t>Open (23.02.1988)/34</t>
  </si>
  <si>
    <t>129,80</t>
  </si>
  <si>
    <t>IPL European Championship 2022, Olympia Pro Powerlifting Qualification
Powerlifting Classic (Wraps)
Russia / Dolgoprudniy. May 14, 2022</t>
  </si>
  <si>
    <t>Kazarina Elena</t>
  </si>
  <si>
    <t>Masters 40-44 (14.10.1980)/41</t>
  </si>
  <si>
    <t>73,90</t>
  </si>
  <si>
    <t xml:space="preserve">Russia / Korolev </t>
  </si>
  <si>
    <t>Parshkov Vitaliiy</t>
  </si>
  <si>
    <t>Junior 15-19 (02.11.2004)/17</t>
  </si>
  <si>
    <t>73,40</t>
  </si>
  <si>
    <t xml:space="preserve">Russia / Kursk </t>
  </si>
  <si>
    <t>Romashev Pavel</t>
  </si>
  <si>
    <t>Open (24.04.1989)/33</t>
  </si>
  <si>
    <t>Fomin Vladimr</t>
  </si>
  <si>
    <t>Open (01.06.1989)/32</t>
  </si>
  <si>
    <t>282,5</t>
  </si>
  <si>
    <t>Tikhonov Aleksandr</t>
  </si>
  <si>
    <t>Open (20.03.1987)/35</t>
  </si>
  <si>
    <t>77,20</t>
  </si>
  <si>
    <t>Narshiev Bakhytzhan</t>
  </si>
  <si>
    <t>81,70</t>
  </si>
  <si>
    <t xml:space="preserve">Kazakhstan / Uralsk </t>
  </si>
  <si>
    <t>Kiselev Dmitriiy</t>
  </si>
  <si>
    <t>Open (25.12.1985)/36</t>
  </si>
  <si>
    <t>Postika Vladimir</t>
  </si>
  <si>
    <t>Masters 40-44 (20.07.1979)/42</t>
  </si>
  <si>
    <t>89,50</t>
  </si>
  <si>
    <t>247,5</t>
  </si>
  <si>
    <t>Karpovich Maksim</t>
  </si>
  <si>
    <t>Open (13.07.1993)/28</t>
  </si>
  <si>
    <t>99,80</t>
  </si>
  <si>
    <t>322,5</t>
  </si>
  <si>
    <t>Suvernev Viktor</t>
  </si>
  <si>
    <t>Masters 45-49 (25.02.1977)/45</t>
  </si>
  <si>
    <t>Mamtsev Evgeniiy</t>
  </si>
  <si>
    <t>Open (01.02.1987)/35</t>
  </si>
  <si>
    <t xml:space="preserve">Russia / Balashikha </t>
  </si>
  <si>
    <t>Lebedev Mikhail</t>
  </si>
  <si>
    <t>Open (01.02.1996)/26</t>
  </si>
  <si>
    <t>104,00</t>
  </si>
  <si>
    <t>IPL European Championship 2022, Olympia Pro Powerlifting Qualification
Powerlifting Single Ply
Russia / Dolgoprudniy. May 14, 2022</t>
  </si>
  <si>
    <t>Emtsev Nikolaiy</t>
  </si>
  <si>
    <t>Masters 50-54 (23.05.1967)/54</t>
  </si>
  <si>
    <t>106,20</t>
  </si>
  <si>
    <t xml:space="preserve">Russia / Kuvshinovo </t>
  </si>
  <si>
    <t>Prodan Anatoliiy</t>
  </si>
  <si>
    <t>Masters 60-64 (02.06.1961)/60</t>
  </si>
  <si>
    <t>115,20</t>
  </si>
  <si>
    <t>IPL European Championship 2022, Olympia Pro Powerlifting Qualification
Bench Press Single Ply
Russia / Dolgoprudniy. May 14, 2022</t>
  </si>
  <si>
    <t>Own 
ves</t>
  </si>
  <si>
    <t>Churin Iuriiy</t>
  </si>
  <si>
    <t>Masters 50-54 (09.06.1971)/50</t>
  </si>
  <si>
    <t>74,30</t>
  </si>
  <si>
    <t xml:space="preserve">Russia / Orekhovo-Zuevo </t>
  </si>
  <si>
    <t>Novikov Oleg</t>
  </si>
  <si>
    <t>IPL European Championship 2022, Olympia Pro Powerlifting Qualification
Bench Press Raw
Russia / Dolgoprudniy. May 14, 2022</t>
  </si>
  <si>
    <t>Alekseeva Irina</t>
  </si>
  <si>
    <t>Open (05.05.1984)/38</t>
  </si>
  <si>
    <t>57,80</t>
  </si>
  <si>
    <t>Rumyantseva Svetlana</t>
  </si>
  <si>
    <t>Open (16.05.1988)/33</t>
  </si>
  <si>
    <t>Zinkovskiiy Roman</t>
  </si>
  <si>
    <t>Open (01.10.1967)/54</t>
  </si>
  <si>
    <t>Lotarev Dmitriiy</t>
  </si>
  <si>
    <t>Open (02.03.1978)/44</t>
  </si>
  <si>
    <t>69,40</t>
  </si>
  <si>
    <t>Masters 40-44 (02.03.1978)/44</t>
  </si>
  <si>
    <t>Sychiov Sergeiy</t>
  </si>
  <si>
    <t>Open (18.07.1978)/43</t>
  </si>
  <si>
    <t>78,00</t>
  </si>
  <si>
    <t>Sokov Denis</t>
  </si>
  <si>
    <t>Open (26.12.1985)/36</t>
  </si>
  <si>
    <t>80,30</t>
  </si>
  <si>
    <t>Kokorev Ilya</t>
  </si>
  <si>
    <t>Open (19.01.1973)/49</t>
  </si>
  <si>
    <t>Masters 45-49 (19.01.1973)/49</t>
  </si>
  <si>
    <t>Chugunov Vitaliiy</t>
  </si>
  <si>
    <t>Masters 40-44 (12.12.1980)/41</t>
  </si>
  <si>
    <t>89,70</t>
  </si>
  <si>
    <t>Bagirov Timur</t>
  </si>
  <si>
    <t>Masters 40-44 (26.04.1982)/40</t>
  </si>
  <si>
    <t>88,60</t>
  </si>
  <si>
    <t>Fedorenko Roman</t>
  </si>
  <si>
    <t>Open (28.05.1988)/33</t>
  </si>
  <si>
    <t>95,20</t>
  </si>
  <si>
    <t>Nikolaev Maksim</t>
  </si>
  <si>
    <t>Open (09.08.1983)/38</t>
  </si>
  <si>
    <t>Tsariov Ivan</t>
  </si>
  <si>
    <t>Open (09.01.1985)/37</t>
  </si>
  <si>
    <t>Chibisov Stepan</t>
  </si>
  <si>
    <t>Open (06.03.1989)/33</t>
  </si>
  <si>
    <t>99,20</t>
  </si>
  <si>
    <t>Bondarev Evgeniiy</t>
  </si>
  <si>
    <t>Open (21.09.1985)/36</t>
  </si>
  <si>
    <t>107,80</t>
  </si>
  <si>
    <t>Musaev Akhmed</t>
  </si>
  <si>
    <t>Open (10.10.1980)/41</t>
  </si>
  <si>
    <t>Kleschev Mikhail</t>
  </si>
  <si>
    <t>Open (05.03.1986)/36</t>
  </si>
  <si>
    <t>104,30</t>
  </si>
  <si>
    <t xml:space="preserve">Russia / Kaluga </t>
  </si>
  <si>
    <t>Sidoruk Alekseiy</t>
  </si>
  <si>
    <t>Open (24.11.1977)/44</t>
  </si>
  <si>
    <t>107,60</t>
  </si>
  <si>
    <t xml:space="preserve">Russia / Arkhangelsk </t>
  </si>
  <si>
    <t>Moiseev Artem</t>
  </si>
  <si>
    <t>Open (16.03.1990)/32</t>
  </si>
  <si>
    <t>104,80</t>
  </si>
  <si>
    <t>Masters 40-44 (24.11.1977)/44</t>
  </si>
  <si>
    <t>Karchevskiiy Arkadiiy</t>
  </si>
  <si>
    <t>Masters 45-49 (28.04.1975)/47</t>
  </si>
  <si>
    <t>Demidov Dmitriiy</t>
  </si>
  <si>
    <t>Junior 20-23 (04.10.1998)/23</t>
  </si>
  <si>
    <t>122,60</t>
  </si>
  <si>
    <t>Koblik Dmitriiy</t>
  </si>
  <si>
    <t>Open (20.08.1993)/28</t>
  </si>
  <si>
    <t>114,20</t>
  </si>
  <si>
    <t>Prostyakov Kirill</t>
  </si>
  <si>
    <t>Open (24.06.1985)/36</t>
  </si>
  <si>
    <t>119,40</t>
  </si>
  <si>
    <t>Novikov Evgeniiy</t>
  </si>
  <si>
    <t>Open (10.07.1992)/29</t>
  </si>
  <si>
    <t>119,50</t>
  </si>
  <si>
    <t xml:space="preserve">Russia / Yartsevo </t>
  </si>
  <si>
    <t>Malkov Oleg</t>
  </si>
  <si>
    <t>Masters 40-44 (27.02.1980)/42</t>
  </si>
  <si>
    <t>123,60</t>
  </si>
  <si>
    <t>Astvatsaturov Aleksandr</t>
  </si>
  <si>
    <t>Masters 60-64 (11.04.1959)/63</t>
  </si>
  <si>
    <t>114,00</t>
  </si>
  <si>
    <t>Gadzhiev Magomed</t>
  </si>
  <si>
    <t>Open (22.01.1991)/31</t>
  </si>
  <si>
    <t>140,00</t>
  </si>
  <si>
    <t xml:space="preserve">Russia / Derbent </t>
  </si>
  <si>
    <t>Gorbunov Aleksandr</t>
  </si>
  <si>
    <t>Open (15.09.1986)/35</t>
  </si>
  <si>
    <t>146,00</t>
  </si>
  <si>
    <t xml:space="preserve">Russia / Astrakhan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</si>
</sst>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\6\4"/>
  </numFmts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/>
    </xf>
    <xf numFmtId="49" fontId="6" fillId="4" borderId="17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S117"/>
  <sheetViews>
    <sheetView workbookViewId="0">
      <selection activeCell="I12" sqref="I12"/>
    </sheetView>
  </sheetViews>
  <sheetFormatPr baseColWidth="10" defaultColWidth="9.140625" defaultRowHeight="12.75" x14ac:dyDescent="0.2"/>
  <cols>
    <col min="1" max="1" width="7.140625" style="4" bestFit="1" customWidth="1"/>
    <col min="2" max="2" width="21.85546875" style="4" bestFit="1" customWidth="1"/>
    <col min="3" max="3" width="28.85546875" style="4" bestFit="1" customWidth="1"/>
    <col min="4" max="4" width="8.42578125" style="4" bestFit="1" customWidth="1"/>
    <col min="5" max="5" width="10.140625" style="4" bestFit="1" customWidth="1"/>
    <col min="6" max="6" width="25.42578125" style="4" customWidth="1"/>
    <col min="7" max="13" width="5.42578125" style="6" customWidth="1"/>
    <col min="14" max="14" width="4.42578125" style="6" customWidth="1"/>
    <col min="15" max="18" width="5.42578125" style="6" customWidth="1"/>
    <col min="19" max="19" width="7.7109375" style="9" bestFit="1" customWidth="1"/>
    <col min="20" max="16384" width="9.140625" style="2"/>
  </cols>
  <sheetData>
    <row r="1" spans="1:19" s="1" customFormat="1" ht="29.1" customHeight="1" x14ac:dyDescent="0.2">
      <c r="A1" s="41" t="s">
        <v>641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62.1" customHeight="1" thickBot="1" x14ac:dyDescent="0.25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s="6" customFormat="1" ht="12.75" customHeight="1" x14ac:dyDescent="0.2">
      <c r="A3" s="47" t="s">
        <v>233</v>
      </c>
      <c r="B3" s="33" t="s">
        <v>234</v>
      </c>
      <c r="C3" s="49" t="s">
        <v>235</v>
      </c>
      <c r="D3" s="49" t="s">
        <v>254</v>
      </c>
      <c r="E3" s="51" t="s">
        <v>0</v>
      </c>
      <c r="F3" s="51" t="s">
        <v>236</v>
      </c>
      <c r="G3" s="51" t="s">
        <v>421</v>
      </c>
      <c r="H3" s="51"/>
      <c r="I3" s="51"/>
      <c r="J3" s="51"/>
      <c r="K3" s="51" t="s">
        <v>237</v>
      </c>
      <c r="L3" s="51"/>
      <c r="M3" s="51"/>
      <c r="N3" s="51"/>
      <c r="O3" s="51" t="s">
        <v>422</v>
      </c>
      <c r="P3" s="51"/>
      <c r="Q3" s="51"/>
      <c r="R3" s="51"/>
      <c r="S3" s="38" t="s">
        <v>240</v>
      </c>
    </row>
    <row r="4" spans="1:19" s="6" customFormat="1" ht="21" customHeight="1" thickBot="1" x14ac:dyDescent="0.25">
      <c r="A4" s="48"/>
      <c r="B4" s="34"/>
      <c r="C4" s="50"/>
      <c r="D4" s="50"/>
      <c r="E4" s="50"/>
      <c r="F4" s="50"/>
      <c r="G4" s="28">
        <v>1</v>
      </c>
      <c r="H4" s="28">
        <v>2</v>
      </c>
      <c r="I4" s="28">
        <v>3</v>
      </c>
      <c r="J4" s="28" t="s">
        <v>238</v>
      </c>
      <c r="K4" s="28">
        <v>1</v>
      </c>
      <c r="L4" s="28">
        <v>2</v>
      </c>
      <c r="M4" s="28">
        <v>3</v>
      </c>
      <c r="N4" s="28" t="s">
        <v>238</v>
      </c>
      <c r="O4" s="28">
        <v>1</v>
      </c>
      <c r="P4" s="28">
        <v>2</v>
      </c>
      <c r="Q4" s="28">
        <v>3</v>
      </c>
      <c r="R4" s="28" t="s">
        <v>238</v>
      </c>
      <c r="S4" s="39"/>
    </row>
    <row r="5" spans="1:19" ht="15.75" thickBot="1" x14ac:dyDescent="0.25">
      <c r="A5" s="52" t="s">
        <v>639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4"/>
    </row>
    <row r="6" spans="1:19" ht="15" x14ac:dyDescent="0.2">
      <c r="A6" s="40" t="s">
        <v>241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9" x14ac:dyDescent="0.2">
      <c r="A7" s="3">
        <v>1</v>
      </c>
      <c r="B7" s="5" t="s">
        <v>582</v>
      </c>
      <c r="C7" s="5" t="s">
        <v>255</v>
      </c>
      <c r="D7" s="5" t="s">
        <v>1</v>
      </c>
      <c r="E7" s="5" t="str">
        <f>"1,3346"</f>
        <v>1,3346</v>
      </c>
      <c r="F7" s="5" t="s">
        <v>423</v>
      </c>
      <c r="G7" s="21" t="s">
        <v>2</v>
      </c>
      <c r="H7" s="21" t="s">
        <v>3</v>
      </c>
      <c r="I7" s="22" t="s">
        <v>4</v>
      </c>
      <c r="J7" s="3"/>
      <c r="K7" s="21" t="s">
        <v>5</v>
      </c>
      <c r="L7" s="22" t="s">
        <v>6</v>
      </c>
      <c r="M7" s="21" t="s">
        <v>6</v>
      </c>
      <c r="N7" s="3"/>
      <c r="O7" s="22" t="s">
        <v>7</v>
      </c>
      <c r="P7" s="21" t="s">
        <v>8</v>
      </c>
      <c r="Q7" s="22" t="s">
        <v>9</v>
      </c>
      <c r="R7" s="3"/>
      <c r="S7" s="12" t="str">
        <f>"275,0"</f>
        <v>275,0</v>
      </c>
    </row>
    <row r="9" spans="1:19" ht="15" x14ac:dyDescent="0.2">
      <c r="A9" s="32" t="s">
        <v>242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9" x14ac:dyDescent="0.2">
      <c r="A10" s="7">
        <v>1</v>
      </c>
      <c r="B10" s="15" t="s">
        <v>555</v>
      </c>
      <c r="C10" s="15" t="s">
        <v>256</v>
      </c>
      <c r="D10" s="15" t="s">
        <v>10</v>
      </c>
      <c r="E10" s="15" t="str">
        <f>"1,2597"</f>
        <v>1,2597</v>
      </c>
      <c r="F10" s="15" t="s">
        <v>424</v>
      </c>
      <c r="G10" s="16" t="s">
        <v>11</v>
      </c>
      <c r="H10" s="17" t="s">
        <v>12</v>
      </c>
      <c r="I10" s="17" t="s">
        <v>12</v>
      </c>
      <c r="J10" s="7"/>
      <c r="K10" s="16" t="s">
        <v>13</v>
      </c>
      <c r="L10" s="16" t="s">
        <v>14</v>
      </c>
      <c r="M10" s="17" t="s">
        <v>15</v>
      </c>
      <c r="N10" s="7"/>
      <c r="O10" s="16" t="s">
        <v>9</v>
      </c>
      <c r="P10" s="16" t="s">
        <v>16</v>
      </c>
      <c r="Q10" s="17" t="s">
        <v>17</v>
      </c>
      <c r="R10" s="7"/>
      <c r="S10" s="10" t="str">
        <f>"317,5"</f>
        <v>317,5</v>
      </c>
    </row>
    <row r="11" spans="1:19" x14ac:dyDescent="0.2">
      <c r="A11" s="13">
        <v>2</v>
      </c>
      <c r="B11" s="24" t="s">
        <v>610</v>
      </c>
      <c r="C11" s="24" t="s">
        <v>257</v>
      </c>
      <c r="D11" s="24" t="s">
        <v>18</v>
      </c>
      <c r="E11" s="24" t="str">
        <f>"1,2578"</f>
        <v>1,2578</v>
      </c>
      <c r="F11" s="24" t="s">
        <v>425</v>
      </c>
      <c r="G11" s="25" t="s">
        <v>19</v>
      </c>
      <c r="H11" s="26" t="s">
        <v>20</v>
      </c>
      <c r="I11" s="25" t="s">
        <v>20</v>
      </c>
      <c r="J11" s="13"/>
      <c r="K11" s="26" t="s">
        <v>13</v>
      </c>
      <c r="L11" s="25" t="s">
        <v>13</v>
      </c>
      <c r="M11" s="25" t="s">
        <v>14</v>
      </c>
      <c r="N11" s="13"/>
      <c r="O11" s="25" t="s">
        <v>11</v>
      </c>
      <c r="P11" s="25" t="s">
        <v>12</v>
      </c>
      <c r="Q11" s="25" t="s">
        <v>9</v>
      </c>
      <c r="R11" s="13"/>
      <c r="S11" s="14" t="str">
        <f>"305,0"</f>
        <v>305,0</v>
      </c>
    </row>
    <row r="12" spans="1:19" x14ac:dyDescent="0.2">
      <c r="A12" s="13">
        <v>3</v>
      </c>
      <c r="B12" s="24" t="s">
        <v>576</v>
      </c>
      <c r="C12" s="24" t="s">
        <v>258</v>
      </c>
      <c r="D12" s="24" t="s">
        <v>21</v>
      </c>
      <c r="E12" s="24" t="str">
        <f>"1,2466"</f>
        <v>1,2466</v>
      </c>
      <c r="F12" s="24" t="s">
        <v>426</v>
      </c>
      <c r="G12" s="25" t="s">
        <v>4</v>
      </c>
      <c r="H12" s="25" t="s">
        <v>19</v>
      </c>
      <c r="I12" s="25" t="s">
        <v>20</v>
      </c>
      <c r="J12" s="13"/>
      <c r="K12" s="25" t="s">
        <v>22</v>
      </c>
      <c r="L12" s="25" t="s">
        <v>23</v>
      </c>
      <c r="M12" s="26" t="s">
        <v>24</v>
      </c>
      <c r="N12" s="13"/>
      <c r="O12" s="25" t="s">
        <v>4</v>
      </c>
      <c r="P12" s="25" t="s">
        <v>19</v>
      </c>
      <c r="Q12" s="26" t="s">
        <v>25</v>
      </c>
      <c r="R12" s="13"/>
      <c r="S12" s="14" t="str">
        <f>"287,5"</f>
        <v>287,5</v>
      </c>
    </row>
    <row r="13" spans="1:19" x14ac:dyDescent="0.2">
      <c r="A13" s="13">
        <v>4</v>
      </c>
      <c r="B13" s="24" t="s">
        <v>503</v>
      </c>
      <c r="C13" s="24" t="s">
        <v>259</v>
      </c>
      <c r="D13" s="24" t="s">
        <v>26</v>
      </c>
      <c r="E13" s="24" t="str">
        <f>"1,2616"</f>
        <v>1,2616</v>
      </c>
      <c r="F13" s="24" t="s">
        <v>427</v>
      </c>
      <c r="G13" s="25" t="s">
        <v>3</v>
      </c>
      <c r="H13" s="25" t="s">
        <v>4</v>
      </c>
      <c r="I13" s="26" t="s">
        <v>27</v>
      </c>
      <c r="J13" s="13"/>
      <c r="K13" s="25" t="s">
        <v>13</v>
      </c>
      <c r="L13" s="25" t="s">
        <v>28</v>
      </c>
      <c r="M13" s="25" t="s">
        <v>14</v>
      </c>
      <c r="N13" s="13"/>
      <c r="O13" s="25" t="s">
        <v>3</v>
      </c>
      <c r="P13" s="25" t="s">
        <v>4</v>
      </c>
      <c r="Q13" s="25" t="s">
        <v>27</v>
      </c>
      <c r="R13" s="13"/>
      <c r="S13" s="14" t="str">
        <f>"267,5"</f>
        <v>267,5</v>
      </c>
    </row>
    <row r="14" spans="1:19" x14ac:dyDescent="0.2">
      <c r="A14" s="13">
        <v>5</v>
      </c>
      <c r="B14" s="24" t="s">
        <v>583</v>
      </c>
      <c r="C14" s="24" t="s">
        <v>260</v>
      </c>
      <c r="D14" s="24" t="s">
        <v>29</v>
      </c>
      <c r="E14" s="24" t="str">
        <f>"1,3023"</f>
        <v>1,3023</v>
      </c>
      <c r="F14" s="24" t="s">
        <v>423</v>
      </c>
      <c r="G14" s="25" t="s">
        <v>30</v>
      </c>
      <c r="H14" s="25" t="s">
        <v>31</v>
      </c>
      <c r="I14" s="25" t="s">
        <v>2</v>
      </c>
      <c r="J14" s="13"/>
      <c r="K14" s="25" t="s">
        <v>13</v>
      </c>
      <c r="L14" s="26" t="s">
        <v>14</v>
      </c>
      <c r="M14" s="25" t="s">
        <v>14</v>
      </c>
      <c r="N14" s="13"/>
      <c r="O14" s="25" t="s">
        <v>20</v>
      </c>
      <c r="P14" s="26" t="s">
        <v>11</v>
      </c>
      <c r="Q14" s="13"/>
      <c r="R14" s="13"/>
      <c r="S14" s="14" t="str">
        <f>"265,0"</f>
        <v>265,0</v>
      </c>
    </row>
    <row r="15" spans="1:19" x14ac:dyDescent="0.2">
      <c r="A15" s="13">
        <v>6</v>
      </c>
      <c r="B15" s="24" t="s">
        <v>584</v>
      </c>
      <c r="C15" s="24" t="s">
        <v>261</v>
      </c>
      <c r="D15" s="24" t="s">
        <v>32</v>
      </c>
      <c r="E15" s="24" t="str">
        <f>"1,2827"</f>
        <v>1,2827</v>
      </c>
      <c r="F15" s="24" t="s">
        <v>424</v>
      </c>
      <c r="G15" s="26" t="s">
        <v>3</v>
      </c>
      <c r="H15" s="25" t="s">
        <v>3</v>
      </c>
      <c r="I15" s="26" t="s">
        <v>4</v>
      </c>
      <c r="J15" s="13"/>
      <c r="K15" s="25" t="s">
        <v>22</v>
      </c>
      <c r="L15" s="26" t="s">
        <v>23</v>
      </c>
      <c r="M15" s="26" t="s">
        <v>23</v>
      </c>
      <c r="N15" s="13"/>
      <c r="O15" s="25" t="s">
        <v>31</v>
      </c>
      <c r="P15" s="26" t="s">
        <v>3</v>
      </c>
      <c r="Q15" s="26" t="s">
        <v>3</v>
      </c>
      <c r="R15" s="13"/>
      <c r="S15" s="14" t="str">
        <f>"250,0"</f>
        <v>250,0</v>
      </c>
    </row>
    <row r="16" spans="1:19" x14ac:dyDescent="0.2">
      <c r="A16" s="13">
        <v>7</v>
      </c>
      <c r="B16" s="24" t="s">
        <v>611</v>
      </c>
      <c r="C16" s="24" t="s">
        <v>262</v>
      </c>
      <c r="D16" s="24" t="s">
        <v>33</v>
      </c>
      <c r="E16" s="24" t="str">
        <f>"1,2730"</f>
        <v>1,2730</v>
      </c>
      <c r="F16" s="24" t="s">
        <v>423</v>
      </c>
      <c r="G16" s="25" t="s">
        <v>22</v>
      </c>
      <c r="H16" s="25" t="s">
        <v>24</v>
      </c>
      <c r="I16" s="25" t="s">
        <v>34</v>
      </c>
      <c r="J16" s="13"/>
      <c r="K16" s="25" t="s">
        <v>35</v>
      </c>
      <c r="L16" s="25" t="s">
        <v>36</v>
      </c>
      <c r="M16" s="26" t="s">
        <v>5</v>
      </c>
      <c r="N16" s="13"/>
      <c r="O16" s="25" t="s">
        <v>2</v>
      </c>
      <c r="P16" s="25" t="s">
        <v>37</v>
      </c>
      <c r="Q16" s="13"/>
      <c r="R16" s="13"/>
      <c r="S16" s="14" t="str">
        <f>"210,0"</f>
        <v>210,0</v>
      </c>
    </row>
    <row r="17" spans="1:19" x14ac:dyDescent="0.2">
      <c r="A17" s="13">
        <v>8</v>
      </c>
      <c r="B17" s="24" t="s">
        <v>504</v>
      </c>
      <c r="C17" s="24" t="s">
        <v>263</v>
      </c>
      <c r="D17" s="24" t="s">
        <v>10</v>
      </c>
      <c r="E17" s="24" t="str">
        <f>"1,2597"</f>
        <v>1,2597</v>
      </c>
      <c r="F17" s="24" t="s">
        <v>423</v>
      </c>
      <c r="G17" s="25" t="s">
        <v>24</v>
      </c>
      <c r="H17" s="25" t="s">
        <v>34</v>
      </c>
      <c r="I17" s="26" t="s">
        <v>38</v>
      </c>
      <c r="J17" s="13"/>
      <c r="K17" s="25" t="s">
        <v>36</v>
      </c>
      <c r="L17" s="25" t="s">
        <v>5</v>
      </c>
      <c r="M17" s="25" t="s">
        <v>39</v>
      </c>
      <c r="N17" s="13"/>
      <c r="O17" s="25" t="s">
        <v>30</v>
      </c>
      <c r="P17" s="25" t="s">
        <v>40</v>
      </c>
      <c r="Q17" s="25" t="s">
        <v>31</v>
      </c>
      <c r="R17" s="13"/>
      <c r="S17" s="14" t="str">
        <f>"202,5"</f>
        <v>202,5</v>
      </c>
    </row>
    <row r="18" spans="1:19" x14ac:dyDescent="0.2">
      <c r="A18" s="13">
        <v>1</v>
      </c>
      <c r="B18" s="24" t="s">
        <v>610</v>
      </c>
      <c r="C18" s="24" t="s">
        <v>355</v>
      </c>
      <c r="D18" s="24" t="s">
        <v>18</v>
      </c>
      <c r="E18" s="24" t="str">
        <f>"1,2578"</f>
        <v>1,2578</v>
      </c>
      <c r="F18" s="24" t="s">
        <v>425</v>
      </c>
      <c r="G18" s="25" t="s">
        <v>19</v>
      </c>
      <c r="H18" s="26" t="s">
        <v>20</v>
      </c>
      <c r="I18" s="25" t="s">
        <v>20</v>
      </c>
      <c r="J18" s="13"/>
      <c r="K18" s="26" t="s">
        <v>13</v>
      </c>
      <c r="L18" s="25" t="s">
        <v>13</v>
      </c>
      <c r="M18" s="25" t="s">
        <v>14</v>
      </c>
      <c r="N18" s="13"/>
      <c r="O18" s="25" t="s">
        <v>11</v>
      </c>
      <c r="P18" s="25" t="s">
        <v>12</v>
      </c>
      <c r="Q18" s="25" t="s">
        <v>9</v>
      </c>
      <c r="R18" s="13"/>
      <c r="S18" s="14" t="str">
        <f>"305,0"</f>
        <v>305,0</v>
      </c>
    </row>
    <row r="19" spans="1:19" x14ac:dyDescent="0.2">
      <c r="A19" s="13">
        <v>2</v>
      </c>
      <c r="B19" s="24" t="s">
        <v>612</v>
      </c>
      <c r="C19" s="24" t="s">
        <v>356</v>
      </c>
      <c r="D19" s="24" t="s">
        <v>41</v>
      </c>
      <c r="E19" s="24" t="str">
        <f>"1,2808"</f>
        <v>1,2808</v>
      </c>
      <c r="F19" s="24" t="s">
        <v>423</v>
      </c>
      <c r="G19" s="26" t="s">
        <v>22</v>
      </c>
      <c r="H19" s="25" t="s">
        <v>22</v>
      </c>
      <c r="I19" s="26" t="s">
        <v>24</v>
      </c>
      <c r="J19" s="13"/>
      <c r="K19" s="26" t="s">
        <v>6</v>
      </c>
      <c r="L19" s="25" t="s">
        <v>6</v>
      </c>
      <c r="M19" s="26" t="s">
        <v>13</v>
      </c>
      <c r="N19" s="13"/>
      <c r="O19" s="26" t="s">
        <v>3</v>
      </c>
      <c r="P19" s="26" t="s">
        <v>3</v>
      </c>
      <c r="Q19" s="25" t="s">
        <v>19</v>
      </c>
      <c r="R19" s="13"/>
      <c r="S19" s="14" t="str">
        <f>"215,0"</f>
        <v>215,0</v>
      </c>
    </row>
    <row r="20" spans="1:19" x14ac:dyDescent="0.2">
      <c r="A20" s="8">
        <v>1</v>
      </c>
      <c r="B20" s="18" t="s">
        <v>583</v>
      </c>
      <c r="C20" s="18" t="s">
        <v>357</v>
      </c>
      <c r="D20" s="18" t="s">
        <v>29</v>
      </c>
      <c r="E20" s="18" t="str">
        <f>"1,3023"</f>
        <v>1,3023</v>
      </c>
      <c r="F20" s="18" t="s">
        <v>423</v>
      </c>
      <c r="G20" s="19" t="s">
        <v>30</v>
      </c>
      <c r="H20" s="19" t="s">
        <v>31</v>
      </c>
      <c r="I20" s="19" t="s">
        <v>2</v>
      </c>
      <c r="J20" s="8"/>
      <c r="K20" s="19" t="s">
        <v>13</v>
      </c>
      <c r="L20" s="20" t="s">
        <v>14</v>
      </c>
      <c r="M20" s="19" t="s">
        <v>14</v>
      </c>
      <c r="N20" s="8"/>
      <c r="O20" s="19" t="s">
        <v>20</v>
      </c>
      <c r="P20" s="20" t="s">
        <v>11</v>
      </c>
      <c r="Q20" s="8"/>
      <c r="R20" s="8"/>
      <c r="S20" s="11" t="str">
        <f>"265,0"</f>
        <v>265,0</v>
      </c>
    </row>
    <row r="22" spans="1:19" ht="15" x14ac:dyDescent="0.2">
      <c r="A22" s="32" t="s">
        <v>243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9" x14ac:dyDescent="0.2">
      <c r="A23" s="7">
        <v>1</v>
      </c>
      <c r="B23" s="15" t="s">
        <v>585</v>
      </c>
      <c r="C23" s="15" t="s">
        <v>264</v>
      </c>
      <c r="D23" s="15" t="s">
        <v>42</v>
      </c>
      <c r="E23" s="15" t="str">
        <f>"1,1816"</f>
        <v>1,1816</v>
      </c>
      <c r="F23" s="15" t="s">
        <v>423</v>
      </c>
      <c r="G23" s="16" t="s">
        <v>25</v>
      </c>
      <c r="H23" s="16" t="s">
        <v>43</v>
      </c>
      <c r="I23" s="17" t="s">
        <v>44</v>
      </c>
      <c r="J23" s="7"/>
      <c r="K23" s="16" t="s">
        <v>45</v>
      </c>
      <c r="L23" s="17" t="s">
        <v>38</v>
      </c>
      <c r="M23" s="16" t="s">
        <v>38</v>
      </c>
      <c r="N23" s="7"/>
      <c r="O23" s="16" t="s">
        <v>46</v>
      </c>
      <c r="P23" s="16" t="s">
        <v>47</v>
      </c>
      <c r="Q23" s="17" t="s">
        <v>48</v>
      </c>
      <c r="R23" s="7"/>
      <c r="S23" s="10" t="str">
        <f>"365,0"</f>
        <v>365,0</v>
      </c>
    </row>
    <row r="24" spans="1:19" x14ac:dyDescent="0.2">
      <c r="A24" s="13">
        <v>2</v>
      </c>
      <c r="B24" s="24" t="s">
        <v>613</v>
      </c>
      <c r="C24" s="24" t="s">
        <v>265</v>
      </c>
      <c r="D24" s="24" t="s">
        <v>49</v>
      </c>
      <c r="E24" s="24" t="str">
        <f>"1,1950"</f>
        <v>1,1950</v>
      </c>
      <c r="F24" s="24" t="s">
        <v>423</v>
      </c>
      <c r="G24" s="25" t="s">
        <v>30</v>
      </c>
      <c r="H24" s="25" t="s">
        <v>40</v>
      </c>
      <c r="I24" s="25" t="s">
        <v>31</v>
      </c>
      <c r="J24" s="13"/>
      <c r="K24" s="25" t="s">
        <v>28</v>
      </c>
      <c r="L24" s="25" t="s">
        <v>14</v>
      </c>
      <c r="M24" s="26" t="s">
        <v>15</v>
      </c>
      <c r="N24" s="13"/>
      <c r="O24" s="25" t="s">
        <v>3</v>
      </c>
      <c r="P24" s="25" t="s">
        <v>4</v>
      </c>
      <c r="Q24" s="25" t="s">
        <v>19</v>
      </c>
      <c r="R24" s="13"/>
      <c r="S24" s="14" t="str">
        <f>"255,0"</f>
        <v>255,0</v>
      </c>
    </row>
    <row r="25" spans="1:19" x14ac:dyDescent="0.2">
      <c r="A25" s="13">
        <v>3</v>
      </c>
      <c r="B25" s="24" t="s">
        <v>614</v>
      </c>
      <c r="C25" s="24" t="s">
        <v>266</v>
      </c>
      <c r="D25" s="24" t="s">
        <v>50</v>
      </c>
      <c r="E25" s="24" t="str">
        <f>"1,1849"</f>
        <v>1,1849</v>
      </c>
      <c r="F25" s="24" t="s">
        <v>428</v>
      </c>
      <c r="G25" s="25" t="s">
        <v>30</v>
      </c>
      <c r="H25" s="25" t="s">
        <v>31</v>
      </c>
      <c r="I25" s="26" t="s">
        <v>51</v>
      </c>
      <c r="J25" s="13"/>
      <c r="K25" s="25" t="s">
        <v>6</v>
      </c>
      <c r="L25" s="25" t="s">
        <v>13</v>
      </c>
      <c r="M25" s="26" t="s">
        <v>28</v>
      </c>
      <c r="N25" s="13"/>
      <c r="O25" s="25" t="s">
        <v>4</v>
      </c>
      <c r="P25" s="25" t="s">
        <v>19</v>
      </c>
      <c r="Q25" s="25" t="s">
        <v>20</v>
      </c>
      <c r="R25" s="13"/>
      <c r="S25" s="14" t="str">
        <f>"255,0"</f>
        <v>255,0</v>
      </c>
    </row>
    <row r="26" spans="1:19" x14ac:dyDescent="0.2">
      <c r="A26" s="13">
        <v>4</v>
      </c>
      <c r="B26" s="24" t="s">
        <v>615</v>
      </c>
      <c r="C26" s="24" t="s">
        <v>267</v>
      </c>
      <c r="D26" s="24" t="s">
        <v>42</v>
      </c>
      <c r="E26" s="24" t="str">
        <f>"1,1816"</f>
        <v>1,1816</v>
      </c>
      <c r="F26" s="24" t="s">
        <v>427</v>
      </c>
      <c r="G26" s="25" t="s">
        <v>30</v>
      </c>
      <c r="H26" s="25" t="s">
        <v>31</v>
      </c>
      <c r="I26" s="26" t="s">
        <v>51</v>
      </c>
      <c r="J26" s="13"/>
      <c r="K26" s="25" t="s">
        <v>6</v>
      </c>
      <c r="L26" s="25" t="s">
        <v>52</v>
      </c>
      <c r="M26" s="26" t="s">
        <v>13</v>
      </c>
      <c r="N26" s="13"/>
      <c r="O26" s="25" t="s">
        <v>3</v>
      </c>
      <c r="P26" s="25" t="s">
        <v>4</v>
      </c>
      <c r="Q26" s="25" t="s">
        <v>25</v>
      </c>
      <c r="R26" s="13"/>
      <c r="S26" s="14" t="str">
        <f>"250,0"</f>
        <v>250,0</v>
      </c>
    </row>
    <row r="27" spans="1:19" x14ac:dyDescent="0.2">
      <c r="A27" s="13">
        <v>5</v>
      </c>
      <c r="B27" s="24" t="s">
        <v>489</v>
      </c>
      <c r="C27" s="24" t="s">
        <v>268</v>
      </c>
      <c r="D27" s="24" t="s">
        <v>53</v>
      </c>
      <c r="E27" s="24" t="str">
        <f>"1,1766"</f>
        <v>1,1766</v>
      </c>
      <c r="F27" s="24" t="s">
        <v>423</v>
      </c>
      <c r="G27" s="25" t="s">
        <v>38</v>
      </c>
      <c r="H27" s="25" t="s">
        <v>54</v>
      </c>
      <c r="I27" s="26" t="s">
        <v>30</v>
      </c>
      <c r="J27" s="13"/>
      <c r="K27" s="25" t="s">
        <v>36</v>
      </c>
      <c r="L27" s="26" t="s">
        <v>5</v>
      </c>
      <c r="M27" s="26" t="s">
        <v>5</v>
      </c>
      <c r="N27" s="13"/>
      <c r="O27" s="25" t="s">
        <v>20</v>
      </c>
      <c r="P27" s="25" t="s">
        <v>7</v>
      </c>
      <c r="Q27" s="25" t="s">
        <v>12</v>
      </c>
      <c r="R27" s="13"/>
      <c r="S27" s="14" t="str">
        <f>"245,0"</f>
        <v>245,0</v>
      </c>
    </row>
    <row r="28" spans="1:19" x14ac:dyDescent="0.2">
      <c r="A28" s="8">
        <v>6</v>
      </c>
      <c r="B28" s="18" t="s">
        <v>505</v>
      </c>
      <c r="C28" s="18" t="s">
        <v>269</v>
      </c>
      <c r="D28" s="18" t="s">
        <v>55</v>
      </c>
      <c r="E28" s="18" t="str">
        <f>"1,2002"</f>
        <v>1,2002</v>
      </c>
      <c r="F28" s="18" t="s">
        <v>429</v>
      </c>
      <c r="G28" s="19" t="s">
        <v>34</v>
      </c>
      <c r="H28" s="20" t="s">
        <v>54</v>
      </c>
      <c r="I28" s="20" t="s">
        <v>54</v>
      </c>
      <c r="J28" s="8"/>
      <c r="K28" s="20" t="s">
        <v>6</v>
      </c>
      <c r="L28" s="19" t="s">
        <v>6</v>
      </c>
      <c r="M28" s="20" t="s">
        <v>13</v>
      </c>
      <c r="N28" s="8"/>
      <c r="O28" s="19" t="s">
        <v>31</v>
      </c>
      <c r="P28" s="20" t="s">
        <v>2</v>
      </c>
      <c r="Q28" s="20" t="s">
        <v>2</v>
      </c>
      <c r="R28" s="8"/>
      <c r="S28" s="11" t="str">
        <f>"205,0"</f>
        <v>205,0</v>
      </c>
    </row>
    <row r="30" spans="1:19" ht="15" x14ac:dyDescent="0.2">
      <c r="A30" s="32" t="s">
        <v>244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9" x14ac:dyDescent="0.2">
      <c r="A31" s="7">
        <v>1</v>
      </c>
      <c r="B31" s="15" t="s">
        <v>586</v>
      </c>
      <c r="C31" s="15" t="s">
        <v>390</v>
      </c>
      <c r="D31" s="15" t="s">
        <v>56</v>
      </c>
      <c r="E31" s="15" t="str">
        <f>"1,1266"</f>
        <v>1,1266</v>
      </c>
      <c r="F31" s="15" t="s">
        <v>423</v>
      </c>
      <c r="G31" s="16" t="s">
        <v>54</v>
      </c>
      <c r="H31" s="16" t="s">
        <v>31</v>
      </c>
      <c r="I31" s="17" t="s">
        <v>3</v>
      </c>
      <c r="J31" s="7"/>
      <c r="K31" s="16" t="s">
        <v>22</v>
      </c>
      <c r="L31" s="17" t="s">
        <v>24</v>
      </c>
      <c r="M31" s="17" t="s">
        <v>24</v>
      </c>
      <c r="N31" s="7"/>
      <c r="O31" s="16" t="s">
        <v>11</v>
      </c>
      <c r="P31" s="16" t="s">
        <v>8</v>
      </c>
      <c r="Q31" s="17" t="s">
        <v>57</v>
      </c>
      <c r="R31" s="7"/>
      <c r="S31" s="10" t="str">
        <f>"280,0"</f>
        <v>280,0</v>
      </c>
    </row>
    <row r="32" spans="1:19" x14ac:dyDescent="0.2">
      <c r="A32" s="13" t="s">
        <v>58</v>
      </c>
      <c r="B32" s="24" t="s">
        <v>587</v>
      </c>
      <c r="C32" s="24" t="s">
        <v>392</v>
      </c>
      <c r="D32" s="24" t="s">
        <v>59</v>
      </c>
      <c r="E32" s="24" t="str">
        <f>"1,1509"</f>
        <v>1,1509</v>
      </c>
      <c r="F32" s="24" t="s">
        <v>430</v>
      </c>
      <c r="G32" s="26" t="s">
        <v>3</v>
      </c>
      <c r="H32" s="26" t="s">
        <v>4</v>
      </c>
      <c r="I32" s="26" t="s">
        <v>4</v>
      </c>
      <c r="J32" s="13"/>
      <c r="K32" s="26"/>
      <c r="L32" s="13"/>
      <c r="M32" s="13"/>
      <c r="N32" s="13"/>
      <c r="O32" s="26"/>
      <c r="P32" s="13"/>
      <c r="Q32" s="13"/>
      <c r="R32" s="13"/>
      <c r="S32" s="14">
        <v>0</v>
      </c>
    </row>
    <row r="33" spans="1:19" x14ac:dyDescent="0.2">
      <c r="A33" s="13">
        <v>1</v>
      </c>
      <c r="B33" s="24" t="s">
        <v>588</v>
      </c>
      <c r="C33" s="24" t="s">
        <v>270</v>
      </c>
      <c r="D33" s="24" t="s">
        <v>60</v>
      </c>
      <c r="E33" s="24" t="str">
        <f>"1,1178"</f>
        <v>1,1178</v>
      </c>
      <c r="F33" s="24" t="s">
        <v>431</v>
      </c>
      <c r="G33" s="25" t="s">
        <v>8</v>
      </c>
      <c r="H33" s="25" t="s">
        <v>9</v>
      </c>
      <c r="I33" s="26" t="s">
        <v>57</v>
      </c>
      <c r="J33" s="13"/>
      <c r="K33" s="25" t="s">
        <v>45</v>
      </c>
      <c r="L33" s="25" t="s">
        <v>61</v>
      </c>
      <c r="M33" s="26" t="s">
        <v>62</v>
      </c>
      <c r="N33" s="13"/>
      <c r="O33" s="25" t="s">
        <v>19</v>
      </c>
      <c r="P33" s="25" t="s">
        <v>11</v>
      </c>
      <c r="Q33" s="25" t="s">
        <v>12</v>
      </c>
      <c r="R33" s="13"/>
      <c r="S33" s="14" t="str">
        <f>"340,0"</f>
        <v>340,0</v>
      </c>
    </row>
    <row r="34" spans="1:19" x14ac:dyDescent="0.2">
      <c r="A34" s="13">
        <v>2</v>
      </c>
      <c r="B34" s="24" t="s">
        <v>541</v>
      </c>
      <c r="C34" s="24" t="s">
        <v>271</v>
      </c>
      <c r="D34" s="24" t="s">
        <v>63</v>
      </c>
      <c r="E34" s="24" t="str">
        <f>"1,1432"</f>
        <v>1,1432</v>
      </c>
      <c r="F34" s="24" t="s">
        <v>423</v>
      </c>
      <c r="G34" s="25" t="s">
        <v>11</v>
      </c>
      <c r="H34" s="25" t="s">
        <v>12</v>
      </c>
      <c r="I34" s="26" t="s">
        <v>64</v>
      </c>
      <c r="J34" s="13"/>
      <c r="K34" s="25" t="s">
        <v>22</v>
      </c>
      <c r="L34" s="26" t="s">
        <v>24</v>
      </c>
      <c r="M34" s="26" t="s">
        <v>24</v>
      </c>
      <c r="N34" s="13"/>
      <c r="O34" s="25" t="s">
        <v>7</v>
      </c>
      <c r="P34" s="26" t="s">
        <v>8</v>
      </c>
      <c r="Q34" s="26" t="s">
        <v>8</v>
      </c>
      <c r="R34" s="13"/>
      <c r="S34" s="14" t="str">
        <f>"312,5"</f>
        <v>312,5</v>
      </c>
    </row>
    <row r="35" spans="1:19" x14ac:dyDescent="0.2">
      <c r="A35" s="13">
        <v>3</v>
      </c>
      <c r="B35" s="24" t="s">
        <v>589</v>
      </c>
      <c r="C35" s="24" t="s">
        <v>272</v>
      </c>
      <c r="D35" s="24" t="s">
        <v>65</v>
      </c>
      <c r="E35" s="24" t="str">
        <f>"1,1604"</f>
        <v>1,1604</v>
      </c>
      <c r="F35" s="24" t="s">
        <v>432</v>
      </c>
      <c r="G35" s="25" t="s">
        <v>14</v>
      </c>
      <c r="H35" s="25" t="s">
        <v>22</v>
      </c>
      <c r="I35" s="26" t="s">
        <v>23</v>
      </c>
      <c r="J35" s="13"/>
      <c r="K35" s="25" t="s">
        <v>35</v>
      </c>
      <c r="L35" s="25" t="s">
        <v>36</v>
      </c>
      <c r="M35" s="26" t="s">
        <v>5</v>
      </c>
      <c r="N35" s="13"/>
      <c r="O35" s="25" t="s">
        <v>22</v>
      </c>
      <c r="P35" s="25" t="s">
        <v>24</v>
      </c>
      <c r="Q35" s="25" t="s">
        <v>34</v>
      </c>
      <c r="R35" s="13"/>
      <c r="S35" s="14" t="str">
        <f>"167,5"</f>
        <v>167,5</v>
      </c>
    </row>
    <row r="36" spans="1:19" x14ac:dyDescent="0.2">
      <c r="A36" s="8">
        <v>1</v>
      </c>
      <c r="B36" s="18" t="s">
        <v>541</v>
      </c>
      <c r="C36" s="18" t="s">
        <v>358</v>
      </c>
      <c r="D36" s="18" t="s">
        <v>63</v>
      </c>
      <c r="E36" s="18" t="str">
        <f>"1,1432"</f>
        <v>1,1432</v>
      </c>
      <c r="F36" s="18" t="s">
        <v>423</v>
      </c>
      <c r="G36" s="19" t="s">
        <v>11</v>
      </c>
      <c r="H36" s="19" t="s">
        <v>12</v>
      </c>
      <c r="I36" s="20" t="s">
        <v>64</v>
      </c>
      <c r="J36" s="8"/>
      <c r="K36" s="19" t="s">
        <v>22</v>
      </c>
      <c r="L36" s="20" t="s">
        <v>24</v>
      </c>
      <c r="M36" s="20" t="s">
        <v>24</v>
      </c>
      <c r="N36" s="8"/>
      <c r="O36" s="19" t="s">
        <v>7</v>
      </c>
      <c r="P36" s="20" t="s">
        <v>8</v>
      </c>
      <c r="Q36" s="20" t="s">
        <v>8</v>
      </c>
      <c r="R36" s="8"/>
      <c r="S36" s="11" t="str">
        <f>"312,5"</f>
        <v>312,5</v>
      </c>
    </row>
    <row r="38" spans="1:19" ht="15" x14ac:dyDescent="0.2">
      <c r="A38" s="32" t="s">
        <v>245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9" x14ac:dyDescent="0.2">
      <c r="A39" s="7">
        <v>1</v>
      </c>
      <c r="B39" s="15" t="s">
        <v>506</v>
      </c>
      <c r="C39" s="15" t="s">
        <v>393</v>
      </c>
      <c r="D39" s="15" t="s">
        <v>66</v>
      </c>
      <c r="E39" s="15" t="str">
        <f>"1,0858"</f>
        <v>1,0858</v>
      </c>
      <c r="F39" s="15" t="s">
        <v>423</v>
      </c>
      <c r="G39" s="17" t="s">
        <v>23</v>
      </c>
      <c r="H39" s="16" t="s">
        <v>23</v>
      </c>
      <c r="I39" s="17" t="s">
        <v>34</v>
      </c>
      <c r="J39" s="7"/>
      <c r="K39" s="16" t="s">
        <v>5</v>
      </c>
      <c r="L39" s="17" t="s">
        <v>39</v>
      </c>
      <c r="M39" s="17" t="s">
        <v>39</v>
      </c>
      <c r="N39" s="7"/>
      <c r="O39" s="16" t="s">
        <v>38</v>
      </c>
      <c r="P39" s="16" t="s">
        <v>30</v>
      </c>
      <c r="Q39" s="16" t="s">
        <v>2</v>
      </c>
      <c r="R39" s="7"/>
      <c r="S39" s="10" t="str">
        <f>"197,5"</f>
        <v>197,5</v>
      </c>
    </row>
    <row r="40" spans="1:19" x14ac:dyDescent="0.2">
      <c r="A40" s="13">
        <v>1</v>
      </c>
      <c r="B40" s="24" t="s">
        <v>556</v>
      </c>
      <c r="C40" s="24" t="s">
        <v>273</v>
      </c>
      <c r="D40" s="24" t="s">
        <v>67</v>
      </c>
      <c r="E40" s="24" t="str">
        <f>"1,0420"</f>
        <v>1,0420</v>
      </c>
      <c r="F40" s="24" t="s">
        <v>433</v>
      </c>
      <c r="G40" s="26" t="s">
        <v>19</v>
      </c>
      <c r="H40" s="25" t="s">
        <v>19</v>
      </c>
      <c r="I40" s="26" t="s">
        <v>11</v>
      </c>
      <c r="J40" s="13"/>
      <c r="K40" s="25" t="s">
        <v>24</v>
      </c>
      <c r="L40" s="25" t="s">
        <v>34</v>
      </c>
      <c r="M40" s="26" t="s">
        <v>45</v>
      </c>
      <c r="N40" s="13"/>
      <c r="O40" s="26" t="s">
        <v>57</v>
      </c>
      <c r="P40" s="25" t="s">
        <v>57</v>
      </c>
      <c r="Q40" s="25" t="s">
        <v>17</v>
      </c>
      <c r="R40" s="13"/>
      <c r="S40" s="14" t="str">
        <f>"330,0"</f>
        <v>330,0</v>
      </c>
    </row>
    <row r="41" spans="1:19" x14ac:dyDescent="0.2">
      <c r="A41" s="13">
        <v>2</v>
      </c>
      <c r="B41" s="24" t="s">
        <v>590</v>
      </c>
      <c r="C41" s="24" t="s">
        <v>274</v>
      </c>
      <c r="D41" s="24" t="s">
        <v>68</v>
      </c>
      <c r="E41" s="24" t="str">
        <f>"1,0306"</f>
        <v>1,0306</v>
      </c>
      <c r="F41" s="24" t="s">
        <v>434</v>
      </c>
      <c r="G41" s="25" t="s">
        <v>7</v>
      </c>
      <c r="H41" s="26" t="s">
        <v>64</v>
      </c>
      <c r="I41" s="26" t="s">
        <v>64</v>
      </c>
      <c r="J41" s="13"/>
      <c r="K41" s="26" t="s">
        <v>69</v>
      </c>
      <c r="L41" s="26" t="s">
        <v>69</v>
      </c>
      <c r="M41" s="25" t="s">
        <v>69</v>
      </c>
      <c r="N41" s="13"/>
      <c r="O41" s="26" t="s">
        <v>64</v>
      </c>
      <c r="P41" s="25" t="s">
        <v>64</v>
      </c>
      <c r="Q41" s="26" t="s">
        <v>70</v>
      </c>
      <c r="R41" s="13"/>
      <c r="S41" s="14" t="str">
        <f>"325,0"</f>
        <v>325,0</v>
      </c>
    </row>
    <row r="42" spans="1:19" x14ac:dyDescent="0.2">
      <c r="A42" s="13">
        <v>3</v>
      </c>
      <c r="B42" s="24" t="s">
        <v>616</v>
      </c>
      <c r="C42" s="24" t="s">
        <v>275</v>
      </c>
      <c r="D42" s="24" t="s">
        <v>71</v>
      </c>
      <c r="E42" s="24" t="str">
        <f>"1,0206"</f>
        <v>1,0206</v>
      </c>
      <c r="F42" s="24" t="s">
        <v>435</v>
      </c>
      <c r="G42" s="26" t="s">
        <v>19</v>
      </c>
      <c r="H42" s="25" t="s">
        <v>43</v>
      </c>
      <c r="I42" s="25" t="s">
        <v>7</v>
      </c>
      <c r="J42" s="13"/>
      <c r="K42" s="25" t="s">
        <v>15</v>
      </c>
      <c r="L42" s="26" t="s">
        <v>23</v>
      </c>
      <c r="M42" s="25" t="s">
        <v>23</v>
      </c>
      <c r="N42" s="13"/>
      <c r="O42" s="25" t="s">
        <v>43</v>
      </c>
      <c r="P42" s="25" t="s">
        <v>7</v>
      </c>
      <c r="Q42" s="26" t="s">
        <v>64</v>
      </c>
      <c r="R42" s="13"/>
      <c r="S42" s="14" t="str">
        <f>"312,5"</f>
        <v>312,5</v>
      </c>
    </row>
    <row r="43" spans="1:19" x14ac:dyDescent="0.2">
      <c r="A43" s="13">
        <v>4</v>
      </c>
      <c r="B43" s="24" t="s">
        <v>617</v>
      </c>
      <c r="C43" s="24" t="s">
        <v>276</v>
      </c>
      <c r="D43" s="24" t="s">
        <v>72</v>
      </c>
      <c r="E43" s="24" t="str">
        <f>"1,0663"</f>
        <v>1,0663</v>
      </c>
      <c r="F43" s="24" t="s">
        <v>423</v>
      </c>
      <c r="G43" s="25" t="s">
        <v>31</v>
      </c>
      <c r="H43" s="26" t="s">
        <v>3</v>
      </c>
      <c r="I43" s="25" t="s">
        <v>3</v>
      </c>
      <c r="J43" s="13"/>
      <c r="K43" s="25" t="s">
        <v>13</v>
      </c>
      <c r="L43" s="26" t="s">
        <v>15</v>
      </c>
      <c r="M43" s="26" t="s">
        <v>23</v>
      </c>
      <c r="N43" s="13"/>
      <c r="O43" s="26" t="s">
        <v>20</v>
      </c>
      <c r="P43" s="25" t="s">
        <v>7</v>
      </c>
      <c r="Q43" s="26" t="s">
        <v>9</v>
      </c>
      <c r="R43" s="13"/>
      <c r="S43" s="14" t="str">
        <f>"275,0"</f>
        <v>275,0</v>
      </c>
    </row>
    <row r="44" spans="1:19" x14ac:dyDescent="0.2">
      <c r="A44" s="13">
        <v>5</v>
      </c>
      <c r="B44" s="24" t="s">
        <v>591</v>
      </c>
      <c r="C44" s="24" t="s">
        <v>277</v>
      </c>
      <c r="D44" s="24" t="s">
        <v>73</v>
      </c>
      <c r="E44" s="24" t="str">
        <f>"1,0588"</f>
        <v>1,0588</v>
      </c>
      <c r="F44" s="24" t="s">
        <v>423</v>
      </c>
      <c r="G44" s="25" t="s">
        <v>30</v>
      </c>
      <c r="H44" s="25" t="s">
        <v>2</v>
      </c>
      <c r="I44" s="25" t="s">
        <v>4</v>
      </c>
      <c r="J44" s="13"/>
      <c r="K44" s="25" t="s">
        <v>28</v>
      </c>
      <c r="L44" s="25" t="s">
        <v>15</v>
      </c>
      <c r="M44" s="26" t="s">
        <v>24</v>
      </c>
      <c r="N44" s="13"/>
      <c r="O44" s="25" t="s">
        <v>31</v>
      </c>
      <c r="P44" s="25" t="s">
        <v>4</v>
      </c>
      <c r="Q44" s="26" t="s">
        <v>25</v>
      </c>
      <c r="R44" s="13"/>
      <c r="S44" s="14" t="str">
        <f>"267,5"</f>
        <v>267,5</v>
      </c>
    </row>
    <row r="45" spans="1:19" x14ac:dyDescent="0.2">
      <c r="A45" s="13" t="s">
        <v>58</v>
      </c>
      <c r="B45" s="24" t="s">
        <v>563</v>
      </c>
      <c r="C45" s="24" t="s">
        <v>278</v>
      </c>
      <c r="D45" s="24" t="s">
        <v>74</v>
      </c>
      <c r="E45" s="24" t="str">
        <f>"1,0539"</f>
        <v>1,0539</v>
      </c>
      <c r="F45" s="24" t="s">
        <v>436</v>
      </c>
      <c r="G45" s="26" t="s">
        <v>19</v>
      </c>
      <c r="H45" s="26" t="s">
        <v>20</v>
      </c>
      <c r="I45" s="26" t="s">
        <v>20</v>
      </c>
      <c r="J45" s="13"/>
      <c r="K45" s="26"/>
      <c r="L45" s="13"/>
      <c r="M45" s="13"/>
      <c r="N45" s="13"/>
      <c r="O45" s="26"/>
      <c r="P45" s="13"/>
      <c r="Q45" s="13"/>
      <c r="R45" s="13"/>
      <c r="S45" s="14">
        <v>0</v>
      </c>
    </row>
    <row r="46" spans="1:19" x14ac:dyDescent="0.2">
      <c r="A46" s="8">
        <v>1</v>
      </c>
      <c r="B46" s="18" t="s">
        <v>618</v>
      </c>
      <c r="C46" s="18" t="s">
        <v>359</v>
      </c>
      <c r="D46" s="18" t="s">
        <v>75</v>
      </c>
      <c r="E46" s="18" t="str">
        <f>"1,0467"</f>
        <v>1,0467</v>
      </c>
      <c r="F46" s="18" t="s">
        <v>437</v>
      </c>
      <c r="G46" s="19" t="s">
        <v>37</v>
      </c>
      <c r="H46" s="19" t="s">
        <v>4</v>
      </c>
      <c r="I46" s="19" t="s">
        <v>19</v>
      </c>
      <c r="J46" s="8"/>
      <c r="K46" s="19" t="s">
        <v>6</v>
      </c>
      <c r="L46" s="19" t="s">
        <v>13</v>
      </c>
      <c r="M46" s="20" t="s">
        <v>28</v>
      </c>
      <c r="N46" s="8"/>
      <c r="O46" s="19" t="s">
        <v>3</v>
      </c>
      <c r="P46" s="19" t="s">
        <v>19</v>
      </c>
      <c r="Q46" s="20" t="s">
        <v>20</v>
      </c>
      <c r="R46" s="8"/>
      <c r="S46" s="11" t="str">
        <f>"270,0"</f>
        <v>270,0</v>
      </c>
    </row>
    <row r="48" spans="1:19" ht="15" x14ac:dyDescent="0.2">
      <c r="A48" s="32" t="s">
        <v>246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9" x14ac:dyDescent="0.2">
      <c r="A49" s="7">
        <v>1</v>
      </c>
      <c r="B49" s="15" t="s">
        <v>619</v>
      </c>
      <c r="C49" s="15" t="s">
        <v>279</v>
      </c>
      <c r="D49" s="15" t="s">
        <v>76</v>
      </c>
      <c r="E49" s="15" t="str">
        <f>"0,9716"</f>
        <v>0,9716</v>
      </c>
      <c r="F49" s="15" t="s">
        <v>423</v>
      </c>
      <c r="G49" s="17" t="s">
        <v>3</v>
      </c>
      <c r="H49" s="16" t="s">
        <v>3</v>
      </c>
      <c r="I49" s="17" t="s">
        <v>20</v>
      </c>
      <c r="J49" s="7"/>
      <c r="K49" s="16" t="s">
        <v>15</v>
      </c>
      <c r="L49" s="16" t="s">
        <v>22</v>
      </c>
      <c r="M49" s="17" t="s">
        <v>24</v>
      </c>
      <c r="N49" s="7"/>
      <c r="O49" s="16" t="s">
        <v>11</v>
      </c>
      <c r="P49" s="16" t="s">
        <v>8</v>
      </c>
      <c r="Q49" s="17" t="s">
        <v>70</v>
      </c>
      <c r="R49" s="7"/>
      <c r="S49" s="10" t="str">
        <f>"290,0"</f>
        <v>290,0</v>
      </c>
    </row>
    <row r="50" spans="1:19" x14ac:dyDescent="0.2">
      <c r="A50" s="13">
        <v>2</v>
      </c>
      <c r="B50" s="24" t="s">
        <v>620</v>
      </c>
      <c r="C50" s="24" t="s">
        <v>280</v>
      </c>
      <c r="D50" s="24" t="s">
        <v>77</v>
      </c>
      <c r="E50" s="24" t="str">
        <f>"1,0048"</f>
        <v>1,0048</v>
      </c>
      <c r="F50" s="24" t="s">
        <v>438</v>
      </c>
      <c r="G50" s="25" t="s">
        <v>34</v>
      </c>
      <c r="H50" s="26" t="s">
        <v>61</v>
      </c>
      <c r="I50" s="25" t="s">
        <v>54</v>
      </c>
      <c r="J50" s="13"/>
      <c r="K50" s="25" t="s">
        <v>6</v>
      </c>
      <c r="L50" s="26" t="s">
        <v>52</v>
      </c>
      <c r="M50" s="26" t="s">
        <v>13</v>
      </c>
      <c r="N50" s="13"/>
      <c r="O50" s="25" t="s">
        <v>30</v>
      </c>
      <c r="P50" s="25" t="s">
        <v>51</v>
      </c>
      <c r="Q50" s="25" t="s">
        <v>78</v>
      </c>
      <c r="R50" s="13"/>
      <c r="S50" s="14" t="str">
        <f>"222,5"</f>
        <v>222,5</v>
      </c>
    </row>
    <row r="51" spans="1:19" x14ac:dyDescent="0.2">
      <c r="A51" s="13" t="s">
        <v>58</v>
      </c>
      <c r="B51" s="24" t="s">
        <v>592</v>
      </c>
      <c r="C51" s="24" t="s">
        <v>281</v>
      </c>
      <c r="D51" s="24" t="s">
        <v>79</v>
      </c>
      <c r="E51" s="24" t="str">
        <f>"1,0059"</f>
        <v>1,0059</v>
      </c>
      <c r="F51" s="24" t="s">
        <v>439</v>
      </c>
      <c r="G51" s="26" t="s">
        <v>19</v>
      </c>
      <c r="H51" s="26" t="s">
        <v>20</v>
      </c>
      <c r="I51" s="26" t="s">
        <v>20</v>
      </c>
      <c r="J51" s="13"/>
      <c r="K51" s="26"/>
      <c r="L51" s="13"/>
      <c r="M51" s="13"/>
      <c r="N51" s="13"/>
      <c r="O51" s="26"/>
      <c r="P51" s="13"/>
      <c r="Q51" s="13"/>
      <c r="R51" s="13"/>
      <c r="S51" s="14">
        <v>0</v>
      </c>
    </row>
    <row r="52" spans="1:19" x14ac:dyDescent="0.2">
      <c r="A52" s="8">
        <v>1</v>
      </c>
      <c r="B52" s="18" t="s">
        <v>619</v>
      </c>
      <c r="C52" s="18" t="s">
        <v>360</v>
      </c>
      <c r="D52" s="18" t="s">
        <v>76</v>
      </c>
      <c r="E52" s="18" t="str">
        <f>"0,9716"</f>
        <v>0,9716</v>
      </c>
      <c r="F52" s="18" t="s">
        <v>423</v>
      </c>
      <c r="G52" s="20" t="s">
        <v>3</v>
      </c>
      <c r="H52" s="19" t="s">
        <v>3</v>
      </c>
      <c r="I52" s="20" t="s">
        <v>20</v>
      </c>
      <c r="J52" s="8"/>
      <c r="K52" s="19" t="s">
        <v>15</v>
      </c>
      <c r="L52" s="19" t="s">
        <v>22</v>
      </c>
      <c r="M52" s="20" t="s">
        <v>24</v>
      </c>
      <c r="N52" s="8"/>
      <c r="O52" s="19" t="s">
        <v>11</v>
      </c>
      <c r="P52" s="19" t="s">
        <v>8</v>
      </c>
      <c r="Q52" s="20" t="s">
        <v>70</v>
      </c>
      <c r="R52" s="8"/>
      <c r="S52" s="11" t="str">
        <f>"290,0"</f>
        <v>290,0</v>
      </c>
    </row>
    <row r="54" spans="1:19" ht="15" x14ac:dyDescent="0.2">
      <c r="A54" s="32" t="s">
        <v>247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9" x14ac:dyDescent="0.2">
      <c r="A55" s="7" t="s">
        <v>58</v>
      </c>
      <c r="B55" s="15" t="s">
        <v>621</v>
      </c>
      <c r="C55" s="15" t="s">
        <v>282</v>
      </c>
      <c r="D55" s="15" t="s">
        <v>80</v>
      </c>
      <c r="E55" s="15" t="str">
        <f>"0,9421"</f>
        <v>0,9421</v>
      </c>
      <c r="F55" s="15" t="s">
        <v>440</v>
      </c>
      <c r="G55" s="16" t="s">
        <v>11</v>
      </c>
      <c r="H55" s="16" t="s">
        <v>7</v>
      </c>
      <c r="I55" s="16" t="s">
        <v>64</v>
      </c>
      <c r="J55" s="7"/>
      <c r="K55" s="17"/>
      <c r="L55" s="17"/>
      <c r="M55" s="17"/>
      <c r="N55" s="7"/>
      <c r="O55" s="7"/>
      <c r="P55" s="17"/>
      <c r="Q55" s="17"/>
      <c r="R55" s="7"/>
      <c r="S55" s="10">
        <v>0</v>
      </c>
    </row>
    <row r="56" spans="1:19" x14ac:dyDescent="0.2">
      <c r="A56" s="8">
        <v>1</v>
      </c>
      <c r="B56" s="18" t="s">
        <v>622</v>
      </c>
      <c r="C56" s="18" t="s">
        <v>361</v>
      </c>
      <c r="D56" s="18" t="s">
        <v>81</v>
      </c>
      <c r="E56" s="18" t="str">
        <f>"0,9182"</f>
        <v>0,9182</v>
      </c>
      <c r="F56" s="18" t="s">
        <v>423</v>
      </c>
      <c r="G56" s="19" t="s">
        <v>37</v>
      </c>
      <c r="H56" s="20" t="s">
        <v>25</v>
      </c>
      <c r="I56" s="20" t="s">
        <v>25</v>
      </c>
      <c r="J56" s="8"/>
      <c r="K56" s="19" t="s">
        <v>14</v>
      </c>
      <c r="L56" s="19" t="s">
        <v>22</v>
      </c>
      <c r="M56" s="20" t="s">
        <v>23</v>
      </c>
      <c r="N56" s="8"/>
      <c r="O56" s="19" t="s">
        <v>11</v>
      </c>
      <c r="P56" s="19" t="s">
        <v>12</v>
      </c>
      <c r="Q56" s="20" t="s">
        <v>64</v>
      </c>
      <c r="R56" s="8"/>
      <c r="S56" s="11" t="str">
        <f>"290,0"</f>
        <v>290,0</v>
      </c>
    </row>
    <row r="57" spans="1:19" ht="13.5" thickBot="1" x14ac:dyDescent="0.25"/>
    <row r="58" spans="1:19" ht="15.75" thickBot="1" x14ac:dyDescent="0.25">
      <c r="A58" s="35" t="s">
        <v>640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7"/>
    </row>
    <row r="59" spans="1:19" ht="15" x14ac:dyDescent="0.2">
      <c r="A59" s="32" t="s">
        <v>245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9" x14ac:dyDescent="0.2">
      <c r="A60" s="7">
        <v>1</v>
      </c>
      <c r="B60" s="15" t="s">
        <v>570</v>
      </c>
      <c r="C60" s="15" t="s">
        <v>395</v>
      </c>
      <c r="D60" s="15" t="s">
        <v>82</v>
      </c>
      <c r="E60" s="15" t="str">
        <f>"0,7729"</f>
        <v>0,7729</v>
      </c>
      <c r="F60" s="15" t="s">
        <v>441</v>
      </c>
      <c r="G60" s="16" t="s">
        <v>2</v>
      </c>
      <c r="H60" s="16" t="s">
        <v>37</v>
      </c>
      <c r="I60" s="17" t="s">
        <v>27</v>
      </c>
      <c r="J60" s="7"/>
      <c r="K60" s="16" t="s">
        <v>69</v>
      </c>
      <c r="L60" s="16" t="s">
        <v>34</v>
      </c>
      <c r="M60" s="16" t="s">
        <v>45</v>
      </c>
      <c r="N60" s="7"/>
      <c r="O60" s="16" t="s">
        <v>19</v>
      </c>
      <c r="P60" s="16" t="s">
        <v>20</v>
      </c>
      <c r="Q60" s="16" t="s">
        <v>11</v>
      </c>
      <c r="R60" s="7"/>
      <c r="S60" s="10" t="str">
        <f>"295,0"</f>
        <v>295,0</v>
      </c>
    </row>
    <row r="61" spans="1:19" x14ac:dyDescent="0.2">
      <c r="A61" s="13">
        <v>1</v>
      </c>
      <c r="B61" s="24" t="s">
        <v>564</v>
      </c>
      <c r="C61" s="24" t="s">
        <v>410</v>
      </c>
      <c r="D61" s="24" t="s">
        <v>71</v>
      </c>
      <c r="E61" s="24" t="str">
        <f>"0,7710"</f>
        <v>0,7710</v>
      </c>
      <c r="F61" s="24" t="s">
        <v>423</v>
      </c>
      <c r="G61" s="25" t="s">
        <v>83</v>
      </c>
      <c r="H61" s="25" t="s">
        <v>84</v>
      </c>
      <c r="I61" s="25" t="s">
        <v>85</v>
      </c>
      <c r="J61" s="13"/>
      <c r="K61" s="25" t="s">
        <v>57</v>
      </c>
      <c r="L61" s="26" t="s">
        <v>86</v>
      </c>
      <c r="M61" s="26" t="s">
        <v>86</v>
      </c>
      <c r="N61" s="13"/>
      <c r="O61" s="25" t="s">
        <v>87</v>
      </c>
      <c r="P61" s="25" t="s">
        <v>88</v>
      </c>
      <c r="Q61" s="26" t="s">
        <v>84</v>
      </c>
      <c r="R61" s="13"/>
      <c r="S61" s="14" t="str">
        <f>"563,5"</f>
        <v>563,5</v>
      </c>
    </row>
    <row r="62" spans="1:19" x14ac:dyDescent="0.2">
      <c r="A62" s="13">
        <v>1</v>
      </c>
      <c r="B62" s="24" t="s">
        <v>507</v>
      </c>
      <c r="C62" s="24" t="s">
        <v>283</v>
      </c>
      <c r="D62" s="24" t="s">
        <v>89</v>
      </c>
      <c r="E62" s="24" t="str">
        <f>"0,7775"</f>
        <v>0,7775</v>
      </c>
      <c r="F62" s="24" t="s">
        <v>423</v>
      </c>
      <c r="G62" s="25" t="s">
        <v>83</v>
      </c>
      <c r="H62" s="25" t="s">
        <v>84</v>
      </c>
      <c r="I62" s="25" t="s">
        <v>90</v>
      </c>
      <c r="J62" s="13"/>
      <c r="K62" s="25" t="s">
        <v>11</v>
      </c>
      <c r="L62" s="26" t="s">
        <v>7</v>
      </c>
      <c r="M62" s="25" t="s">
        <v>7</v>
      </c>
      <c r="N62" s="13"/>
      <c r="O62" s="25" t="s">
        <v>84</v>
      </c>
      <c r="P62" s="25" t="s">
        <v>91</v>
      </c>
      <c r="Q62" s="26" t="s">
        <v>92</v>
      </c>
      <c r="R62" s="13"/>
      <c r="S62" s="14" t="str">
        <f>"565,0"</f>
        <v>565,0</v>
      </c>
    </row>
    <row r="63" spans="1:19" x14ac:dyDescent="0.2">
      <c r="A63" s="13">
        <v>2</v>
      </c>
      <c r="B63" s="24" t="s">
        <v>564</v>
      </c>
      <c r="C63" s="24" t="s">
        <v>284</v>
      </c>
      <c r="D63" s="24" t="s">
        <v>71</v>
      </c>
      <c r="E63" s="24" t="str">
        <f>"0,7710"</f>
        <v>0,7710</v>
      </c>
      <c r="F63" s="24" t="s">
        <v>423</v>
      </c>
      <c r="G63" s="25" t="s">
        <v>83</v>
      </c>
      <c r="H63" s="25" t="s">
        <v>84</v>
      </c>
      <c r="I63" s="25" t="s">
        <v>85</v>
      </c>
      <c r="J63" s="13"/>
      <c r="K63" s="25" t="s">
        <v>57</v>
      </c>
      <c r="L63" s="26" t="s">
        <v>86</v>
      </c>
      <c r="M63" s="26" t="s">
        <v>86</v>
      </c>
      <c r="N63" s="13"/>
      <c r="O63" s="25" t="s">
        <v>87</v>
      </c>
      <c r="P63" s="25" t="s">
        <v>88</v>
      </c>
      <c r="Q63" s="26" t="s">
        <v>84</v>
      </c>
      <c r="R63" s="13"/>
      <c r="S63" s="14" t="str">
        <f>"563,5"</f>
        <v>563,5</v>
      </c>
    </row>
    <row r="64" spans="1:19" x14ac:dyDescent="0.2">
      <c r="A64" s="8">
        <v>3</v>
      </c>
      <c r="B64" s="18" t="s">
        <v>565</v>
      </c>
      <c r="C64" s="18" t="s">
        <v>285</v>
      </c>
      <c r="D64" s="18" t="s">
        <v>93</v>
      </c>
      <c r="E64" s="18" t="str">
        <f>"0,7747"</f>
        <v>0,7747</v>
      </c>
      <c r="F64" s="18" t="s">
        <v>423</v>
      </c>
      <c r="G64" s="19" t="s">
        <v>17</v>
      </c>
      <c r="H64" s="19" t="s">
        <v>94</v>
      </c>
      <c r="I64" s="19" t="s">
        <v>95</v>
      </c>
      <c r="J64" s="8"/>
      <c r="K64" s="19" t="s">
        <v>7</v>
      </c>
      <c r="L64" s="20" t="s">
        <v>8</v>
      </c>
      <c r="M64" s="20" t="s">
        <v>8</v>
      </c>
      <c r="N64" s="8"/>
      <c r="O64" s="19" t="s">
        <v>96</v>
      </c>
      <c r="P64" s="20" t="s">
        <v>97</v>
      </c>
      <c r="Q64" s="20" t="s">
        <v>97</v>
      </c>
      <c r="R64" s="8"/>
      <c r="S64" s="11" t="str">
        <f>"475,0"</f>
        <v>475,0</v>
      </c>
    </row>
    <row r="66" spans="1:19" ht="15" x14ac:dyDescent="0.2">
      <c r="A66" s="32" t="s">
        <v>246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9" x14ac:dyDescent="0.2">
      <c r="A67" s="7">
        <v>1</v>
      </c>
      <c r="B67" s="15" t="s">
        <v>601</v>
      </c>
      <c r="C67" s="15" t="s">
        <v>396</v>
      </c>
      <c r="D67" s="15" t="s">
        <v>98</v>
      </c>
      <c r="E67" s="15" t="str">
        <f>"0,7453"</f>
        <v>0,7453</v>
      </c>
      <c r="F67" s="15" t="s">
        <v>442</v>
      </c>
      <c r="G67" s="16" t="s">
        <v>70</v>
      </c>
      <c r="H67" s="16" t="s">
        <v>57</v>
      </c>
      <c r="I67" s="16" t="s">
        <v>86</v>
      </c>
      <c r="J67" s="7"/>
      <c r="K67" s="16" t="s">
        <v>30</v>
      </c>
      <c r="L67" s="17" t="s">
        <v>40</v>
      </c>
      <c r="M67" s="17" t="s">
        <v>40</v>
      </c>
      <c r="N67" s="7"/>
      <c r="O67" s="16" t="s">
        <v>99</v>
      </c>
      <c r="P67" s="16" t="s">
        <v>100</v>
      </c>
      <c r="Q67" s="16" t="s">
        <v>94</v>
      </c>
      <c r="R67" s="7"/>
      <c r="S67" s="10" t="str">
        <f>"390,0"</f>
        <v>390,0</v>
      </c>
    </row>
    <row r="68" spans="1:19" x14ac:dyDescent="0.2">
      <c r="A68" s="13">
        <v>2</v>
      </c>
      <c r="B68" s="24" t="s">
        <v>508</v>
      </c>
      <c r="C68" s="24" t="s">
        <v>397</v>
      </c>
      <c r="D68" s="24" t="s">
        <v>101</v>
      </c>
      <c r="E68" s="24" t="str">
        <f>"0,7406"</f>
        <v>0,7406</v>
      </c>
      <c r="F68" s="24" t="s">
        <v>423</v>
      </c>
      <c r="G68" s="25" t="s">
        <v>11</v>
      </c>
      <c r="H68" s="25" t="s">
        <v>8</v>
      </c>
      <c r="I68" s="26" t="s">
        <v>57</v>
      </c>
      <c r="J68" s="13"/>
      <c r="K68" s="25" t="s">
        <v>38</v>
      </c>
      <c r="L68" s="25" t="s">
        <v>61</v>
      </c>
      <c r="M68" s="25" t="s">
        <v>62</v>
      </c>
      <c r="N68" s="13"/>
      <c r="O68" s="25" t="s">
        <v>11</v>
      </c>
      <c r="P68" s="25" t="s">
        <v>9</v>
      </c>
      <c r="Q68" s="26" t="s">
        <v>16</v>
      </c>
      <c r="R68" s="13"/>
      <c r="S68" s="14" t="str">
        <f>"347,5"</f>
        <v>347,5</v>
      </c>
    </row>
    <row r="69" spans="1:19" x14ac:dyDescent="0.2">
      <c r="A69" s="13">
        <v>3</v>
      </c>
      <c r="B69" s="24" t="s">
        <v>542</v>
      </c>
      <c r="C69" s="24" t="s">
        <v>398</v>
      </c>
      <c r="D69" s="24" t="s">
        <v>102</v>
      </c>
      <c r="E69" s="24" t="str">
        <f>"0,7461"</f>
        <v>0,7461</v>
      </c>
      <c r="F69" s="24" t="s">
        <v>443</v>
      </c>
      <c r="G69" s="25" t="s">
        <v>8</v>
      </c>
      <c r="H69" s="26" t="s">
        <v>57</v>
      </c>
      <c r="I69" s="26" t="s">
        <v>57</v>
      </c>
      <c r="J69" s="13"/>
      <c r="K69" s="25" t="s">
        <v>30</v>
      </c>
      <c r="L69" s="26" t="s">
        <v>31</v>
      </c>
      <c r="M69" s="26" t="s">
        <v>2</v>
      </c>
      <c r="N69" s="13"/>
      <c r="O69" s="25" t="s">
        <v>8</v>
      </c>
      <c r="P69" s="26" t="s">
        <v>57</v>
      </c>
      <c r="Q69" s="26" t="s">
        <v>57</v>
      </c>
      <c r="R69" s="13"/>
      <c r="S69" s="14" t="str">
        <f>"345,0"</f>
        <v>345,0</v>
      </c>
    </row>
    <row r="70" spans="1:19" x14ac:dyDescent="0.2">
      <c r="A70" s="13">
        <v>4</v>
      </c>
      <c r="B70" s="24" t="s">
        <v>623</v>
      </c>
      <c r="C70" s="24" t="s">
        <v>399</v>
      </c>
      <c r="D70" s="24" t="s">
        <v>76</v>
      </c>
      <c r="E70" s="24" t="str">
        <f>"0,7300"</f>
        <v>0,7300</v>
      </c>
      <c r="F70" s="24" t="s">
        <v>423</v>
      </c>
      <c r="G70" s="25" t="s">
        <v>30</v>
      </c>
      <c r="H70" s="25" t="s">
        <v>2</v>
      </c>
      <c r="I70" s="25" t="s">
        <v>27</v>
      </c>
      <c r="J70" s="13"/>
      <c r="K70" s="25" t="s">
        <v>38</v>
      </c>
      <c r="L70" s="25" t="s">
        <v>30</v>
      </c>
      <c r="M70" s="25" t="s">
        <v>40</v>
      </c>
      <c r="N70" s="13"/>
      <c r="O70" s="25" t="s">
        <v>19</v>
      </c>
      <c r="P70" s="25" t="s">
        <v>44</v>
      </c>
      <c r="Q70" s="25" t="s">
        <v>8</v>
      </c>
      <c r="R70" s="13"/>
      <c r="S70" s="14" t="str">
        <f>"325,0"</f>
        <v>325,0</v>
      </c>
    </row>
    <row r="71" spans="1:19" x14ac:dyDescent="0.2">
      <c r="A71" s="13">
        <v>1</v>
      </c>
      <c r="B71" s="24" t="s">
        <v>490</v>
      </c>
      <c r="C71" s="24" t="s">
        <v>286</v>
      </c>
      <c r="D71" s="24" t="s">
        <v>103</v>
      </c>
      <c r="E71" s="24" t="str">
        <f>"0,7383"</f>
        <v>0,7383</v>
      </c>
      <c r="F71" s="24" t="s">
        <v>423</v>
      </c>
      <c r="G71" s="25" t="s">
        <v>104</v>
      </c>
      <c r="H71" s="25" t="s">
        <v>83</v>
      </c>
      <c r="I71" s="26" t="s">
        <v>105</v>
      </c>
      <c r="J71" s="13"/>
      <c r="K71" s="25" t="s">
        <v>70</v>
      </c>
      <c r="L71" s="25" t="s">
        <v>16</v>
      </c>
      <c r="M71" s="26" t="s">
        <v>86</v>
      </c>
      <c r="N71" s="13"/>
      <c r="O71" s="25" t="s">
        <v>84</v>
      </c>
      <c r="P71" s="25" t="s">
        <v>91</v>
      </c>
      <c r="Q71" s="26" t="s">
        <v>106</v>
      </c>
      <c r="R71" s="13"/>
      <c r="S71" s="14" t="str">
        <f>"565,0"</f>
        <v>565,0</v>
      </c>
    </row>
    <row r="72" spans="1:19" x14ac:dyDescent="0.2">
      <c r="A72" s="13">
        <v>2</v>
      </c>
      <c r="B72" s="24" t="s">
        <v>543</v>
      </c>
      <c r="C72" s="24" t="s">
        <v>287</v>
      </c>
      <c r="D72" s="24" t="s">
        <v>107</v>
      </c>
      <c r="E72" s="24" t="str">
        <f>"0,7179"</f>
        <v>0,7179</v>
      </c>
      <c r="F72" s="24" t="s">
        <v>423</v>
      </c>
      <c r="G72" s="26" t="s">
        <v>108</v>
      </c>
      <c r="H72" s="25" t="s">
        <v>108</v>
      </c>
      <c r="I72" s="25" t="s">
        <v>109</v>
      </c>
      <c r="J72" s="13"/>
      <c r="K72" s="25" t="s">
        <v>64</v>
      </c>
      <c r="L72" s="25" t="s">
        <v>70</v>
      </c>
      <c r="M72" s="26" t="s">
        <v>57</v>
      </c>
      <c r="N72" s="13"/>
      <c r="O72" s="25" t="s">
        <v>84</v>
      </c>
      <c r="P72" s="25" t="s">
        <v>90</v>
      </c>
      <c r="Q72" s="26" t="s">
        <v>110</v>
      </c>
      <c r="R72" s="13"/>
      <c r="S72" s="14" t="str">
        <f>"547,5"</f>
        <v>547,5</v>
      </c>
    </row>
    <row r="73" spans="1:19" x14ac:dyDescent="0.2">
      <c r="A73" s="13">
        <v>3</v>
      </c>
      <c r="B73" s="24" t="s">
        <v>484</v>
      </c>
      <c r="C73" s="24" t="s">
        <v>288</v>
      </c>
      <c r="D73" s="24" t="s">
        <v>111</v>
      </c>
      <c r="E73" s="24" t="str">
        <f>"0,7330"</f>
        <v>0,7330</v>
      </c>
      <c r="F73" s="24" t="s">
        <v>423</v>
      </c>
      <c r="G73" s="25" t="s">
        <v>57</v>
      </c>
      <c r="H73" s="25" t="s">
        <v>99</v>
      </c>
      <c r="I73" s="25" t="s">
        <v>46</v>
      </c>
      <c r="J73" s="13"/>
      <c r="K73" s="25" t="s">
        <v>20</v>
      </c>
      <c r="L73" s="25" t="s">
        <v>43</v>
      </c>
      <c r="M73" s="26" t="s">
        <v>11</v>
      </c>
      <c r="N73" s="13"/>
      <c r="O73" s="25" t="s">
        <v>96</v>
      </c>
      <c r="P73" s="25" t="s">
        <v>104</v>
      </c>
      <c r="Q73" s="25" t="s">
        <v>83</v>
      </c>
      <c r="R73" s="13"/>
      <c r="S73" s="14" t="str">
        <f>"482,5"</f>
        <v>482,5</v>
      </c>
    </row>
    <row r="74" spans="1:19" x14ac:dyDescent="0.2">
      <c r="A74" s="8" t="s">
        <v>58</v>
      </c>
      <c r="B74" s="18" t="s">
        <v>566</v>
      </c>
      <c r="C74" s="18" t="s">
        <v>362</v>
      </c>
      <c r="D74" s="18" t="s">
        <v>112</v>
      </c>
      <c r="E74" s="18" t="str">
        <f>"0,7264"</f>
        <v>0,7264</v>
      </c>
      <c r="F74" s="18" t="s">
        <v>441</v>
      </c>
      <c r="G74" s="20" t="s">
        <v>108</v>
      </c>
      <c r="H74" s="20" t="s">
        <v>108</v>
      </c>
      <c r="I74" s="20" t="s">
        <v>108</v>
      </c>
      <c r="J74" s="8"/>
      <c r="K74" s="20"/>
      <c r="L74" s="8"/>
      <c r="M74" s="8"/>
      <c r="N74" s="8"/>
      <c r="O74" s="20"/>
      <c r="P74" s="8"/>
      <c r="Q74" s="8"/>
      <c r="R74" s="8"/>
      <c r="S74" s="11">
        <v>0</v>
      </c>
    </row>
    <row r="76" spans="1:19" ht="15" x14ac:dyDescent="0.2">
      <c r="A76" s="32" t="s">
        <v>247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9" x14ac:dyDescent="0.2">
      <c r="A77" s="7">
        <v>1</v>
      </c>
      <c r="B77" s="15" t="s">
        <v>602</v>
      </c>
      <c r="C77" s="15" t="s">
        <v>400</v>
      </c>
      <c r="D77" s="15" t="s">
        <v>113</v>
      </c>
      <c r="E77" s="15" t="str">
        <f>"0,6927"</f>
        <v>0,6927</v>
      </c>
      <c r="F77" s="15" t="s">
        <v>435</v>
      </c>
      <c r="G77" s="16" t="s">
        <v>114</v>
      </c>
      <c r="H77" s="16" t="s">
        <v>94</v>
      </c>
      <c r="I77" s="17" t="s">
        <v>95</v>
      </c>
      <c r="J77" s="7"/>
      <c r="K77" s="16" t="s">
        <v>27</v>
      </c>
      <c r="L77" s="16" t="s">
        <v>25</v>
      </c>
      <c r="M77" s="17" t="s">
        <v>43</v>
      </c>
      <c r="N77" s="7"/>
      <c r="O77" s="16" t="s">
        <v>108</v>
      </c>
      <c r="P77" s="16" t="s">
        <v>97</v>
      </c>
      <c r="Q77" s="17" t="s">
        <v>115</v>
      </c>
      <c r="R77" s="7"/>
      <c r="S77" s="10" t="str">
        <f>"467,5"</f>
        <v>467,5</v>
      </c>
    </row>
    <row r="78" spans="1:19" x14ac:dyDescent="0.2">
      <c r="A78" s="13">
        <v>2</v>
      </c>
      <c r="B78" s="24" t="s">
        <v>509</v>
      </c>
      <c r="C78" s="24" t="s">
        <v>401</v>
      </c>
      <c r="D78" s="24" t="s">
        <v>116</v>
      </c>
      <c r="E78" s="24" t="str">
        <f>"0,6785"</f>
        <v>0,6785</v>
      </c>
      <c r="F78" s="24" t="s">
        <v>444</v>
      </c>
      <c r="G78" s="25" t="s">
        <v>9</v>
      </c>
      <c r="H78" s="25" t="s">
        <v>86</v>
      </c>
      <c r="I78" s="25" t="s">
        <v>17</v>
      </c>
      <c r="J78" s="13"/>
      <c r="K78" s="25" t="s">
        <v>2</v>
      </c>
      <c r="L78" s="25" t="s">
        <v>3</v>
      </c>
      <c r="M78" s="25" t="s">
        <v>4</v>
      </c>
      <c r="N78" s="13"/>
      <c r="O78" s="25" t="s">
        <v>104</v>
      </c>
      <c r="P78" s="25" t="s">
        <v>83</v>
      </c>
      <c r="Q78" s="25" t="s">
        <v>88</v>
      </c>
      <c r="R78" s="13"/>
      <c r="S78" s="14" t="str">
        <f>"462,5"</f>
        <v>462,5</v>
      </c>
    </row>
    <row r="79" spans="1:19" x14ac:dyDescent="0.2">
      <c r="A79" s="13">
        <v>1</v>
      </c>
      <c r="B79" s="24" t="s">
        <v>593</v>
      </c>
      <c r="C79" s="24" t="s">
        <v>411</v>
      </c>
      <c r="D79" s="24" t="s">
        <v>117</v>
      </c>
      <c r="E79" s="24" t="str">
        <f>"0,6843"</f>
        <v>0,6843</v>
      </c>
      <c r="F79" s="24" t="s">
        <v>423</v>
      </c>
      <c r="G79" s="25" t="s">
        <v>8</v>
      </c>
      <c r="H79" s="25" t="s">
        <v>9</v>
      </c>
      <c r="I79" s="25" t="s">
        <v>57</v>
      </c>
      <c r="J79" s="13"/>
      <c r="K79" s="26" t="s">
        <v>4</v>
      </c>
      <c r="L79" s="26" t="s">
        <v>4</v>
      </c>
      <c r="M79" s="25" t="s">
        <v>4</v>
      </c>
      <c r="N79" s="13"/>
      <c r="O79" s="25" t="s">
        <v>17</v>
      </c>
      <c r="P79" s="25" t="s">
        <v>99</v>
      </c>
      <c r="Q79" s="25" t="s">
        <v>46</v>
      </c>
      <c r="R79" s="13"/>
      <c r="S79" s="14" t="str">
        <f>"410,0"</f>
        <v>410,0</v>
      </c>
    </row>
    <row r="80" spans="1:19" x14ac:dyDescent="0.2">
      <c r="A80" s="13" t="s">
        <v>58</v>
      </c>
      <c r="B80" s="24" t="s">
        <v>488</v>
      </c>
      <c r="C80" s="24" t="s">
        <v>412</v>
      </c>
      <c r="D80" s="24" t="s">
        <v>118</v>
      </c>
      <c r="E80" s="24" t="str">
        <f>"0,7067"</f>
        <v>0,7067</v>
      </c>
      <c r="F80" s="24" t="s">
        <v>423</v>
      </c>
      <c r="G80" s="26" t="s">
        <v>57</v>
      </c>
      <c r="H80" s="26" t="s">
        <v>86</v>
      </c>
      <c r="I80" s="26" t="s">
        <v>86</v>
      </c>
      <c r="J80" s="13"/>
      <c r="K80" s="26"/>
      <c r="L80" s="13"/>
      <c r="M80" s="13"/>
      <c r="N80" s="13"/>
      <c r="O80" s="26"/>
      <c r="P80" s="13"/>
      <c r="Q80" s="13"/>
      <c r="R80" s="13"/>
      <c r="S80" s="14">
        <v>0</v>
      </c>
    </row>
    <row r="81" spans="1:19" x14ac:dyDescent="0.2">
      <c r="A81" s="13">
        <v>1</v>
      </c>
      <c r="B81" s="24" t="s">
        <v>529</v>
      </c>
      <c r="C81" s="24" t="s">
        <v>289</v>
      </c>
      <c r="D81" s="24" t="s">
        <v>119</v>
      </c>
      <c r="E81" s="24" t="str">
        <f>"0,6699"</f>
        <v>0,6699</v>
      </c>
      <c r="F81" s="24" t="s">
        <v>423</v>
      </c>
      <c r="G81" s="25" t="s">
        <v>120</v>
      </c>
      <c r="H81" s="25" t="s">
        <v>121</v>
      </c>
      <c r="I81" s="26" t="s">
        <v>122</v>
      </c>
      <c r="J81" s="13"/>
      <c r="K81" s="25" t="s">
        <v>16</v>
      </c>
      <c r="L81" s="26" t="s">
        <v>123</v>
      </c>
      <c r="M81" s="26" t="s">
        <v>123</v>
      </c>
      <c r="N81" s="13"/>
      <c r="O81" s="25" t="s">
        <v>121</v>
      </c>
      <c r="P81" s="25" t="s">
        <v>124</v>
      </c>
      <c r="Q81" s="26" t="s">
        <v>125</v>
      </c>
      <c r="R81" s="13"/>
      <c r="S81" s="14" t="str">
        <f>"652,5"</f>
        <v>652,5</v>
      </c>
    </row>
    <row r="82" spans="1:19" x14ac:dyDescent="0.2">
      <c r="A82" s="13">
        <v>2</v>
      </c>
      <c r="B82" s="24" t="s">
        <v>491</v>
      </c>
      <c r="C82" s="24" t="s">
        <v>290</v>
      </c>
      <c r="D82" s="24" t="s">
        <v>126</v>
      </c>
      <c r="E82" s="24" t="str">
        <f>"0,6714"</f>
        <v>0,6714</v>
      </c>
      <c r="F82" s="24" t="s">
        <v>445</v>
      </c>
      <c r="G82" s="25" t="s">
        <v>83</v>
      </c>
      <c r="H82" s="25" t="s">
        <v>115</v>
      </c>
      <c r="I82" s="25" t="s">
        <v>84</v>
      </c>
      <c r="J82" s="13"/>
      <c r="K82" s="25" t="s">
        <v>114</v>
      </c>
      <c r="L82" s="25" t="s">
        <v>100</v>
      </c>
      <c r="M82" s="25" t="s">
        <v>94</v>
      </c>
      <c r="N82" s="13"/>
      <c r="O82" s="25" t="s">
        <v>115</v>
      </c>
      <c r="P82" s="25" t="s">
        <v>127</v>
      </c>
      <c r="Q82" s="26" t="s">
        <v>90</v>
      </c>
      <c r="R82" s="13"/>
      <c r="S82" s="14" t="str">
        <f>"585,0"</f>
        <v>585,0</v>
      </c>
    </row>
    <row r="83" spans="1:19" x14ac:dyDescent="0.2">
      <c r="A83" s="13">
        <v>3</v>
      </c>
      <c r="B83" s="24" t="s">
        <v>530</v>
      </c>
      <c r="C83" s="24" t="s">
        <v>291</v>
      </c>
      <c r="D83" s="24" t="s">
        <v>128</v>
      </c>
      <c r="E83" s="24" t="str">
        <f>"0,6816"</f>
        <v>0,6816</v>
      </c>
      <c r="F83" s="24" t="s">
        <v>446</v>
      </c>
      <c r="G83" s="25" t="s">
        <v>129</v>
      </c>
      <c r="H83" s="25" t="s">
        <v>108</v>
      </c>
      <c r="I83" s="26" t="s">
        <v>104</v>
      </c>
      <c r="J83" s="13"/>
      <c r="K83" s="26" t="s">
        <v>25</v>
      </c>
      <c r="L83" s="25" t="s">
        <v>20</v>
      </c>
      <c r="M83" s="25" t="s">
        <v>43</v>
      </c>
      <c r="N83" s="13"/>
      <c r="O83" s="25" t="s">
        <v>83</v>
      </c>
      <c r="P83" s="25" t="s">
        <v>84</v>
      </c>
      <c r="Q83" s="25" t="s">
        <v>127</v>
      </c>
      <c r="R83" s="13"/>
      <c r="S83" s="14" t="str">
        <f>"517,5"</f>
        <v>517,5</v>
      </c>
    </row>
    <row r="84" spans="1:19" x14ac:dyDescent="0.2">
      <c r="A84" s="13">
        <v>4</v>
      </c>
      <c r="B84" s="24" t="s">
        <v>580</v>
      </c>
      <c r="C84" s="24" t="s">
        <v>292</v>
      </c>
      <c r="D84" s="24" t="s">
        <v>130</v>
      </c>
      <c r="E84" s="24" t="str">
        <f>"0,6729"</f>
        <v>0,6729</v>
      </c>
      <c r="F84" s="24" t="s">
        <v>423</v>
      </c>
      <c r="G84" s="26" t="s">
        <v>96</v>
      </c>
      <c r="H84" s="25" t="s">
        <v>96</v>
      </c>
      <c r="I84" s="26" t="s">
        <v>104</v>
      </c>
      <c r="J84" s="13"/>
      <c r="K84" s="25" t="s">
        <v>12</v>
      </c>
      <c r="L84" s="26" t="s">
        <v>64</v>
      </c>
      <c r="M84" s="13"/>
      <c r="N84" s="13"/>
      <c r="O84" s="26" t="s">
        <v>88</v>
      </c>
      <c r="P84" s="25" t="s">
        <v>88</v>
      </c>
      <c r="Q84" s="26" t="s">
        <v>131</v>
      </c>
      <c r="R84" s="13"/>
      <c r="S84" s="14" t="str">
        <f>"515,0"</f>
        <v>515,0</v>
      </c>
    </row>
    <row r="85" spans="1:19" x14ac:dyDescent="0.2">
      <c r="A85" s="13">
        <v>5</v>
      </c>
      <c r="B85" s="24" t="s">
        <v>510</v>
      </c>
      <c r="C85" s="24" t="s">
        <v>293</v>
      </c>
      <c r="D85" s="24" t="s">
        <v>132</v>
      </c>
      <c r="E85" s="24" t="str">
        <f>"0,6800"</f>
        <v>0,6800</v>
      </c>
      <c r="F85" s="24" t="s">
        <v>446</v>
      </c>
      <c r="G85" s="25" t="s">
        <v>17</v>
      </c>
      <c r="H85" s="26" t="s">
        <v>94</v>
      </c>
      <c r="I85" s="25" t="s">
        <v>46</v>
      </c>
      <c r="J85" s="13"/>
      <c r="K85" s="25" t="s">
        <v>11</v>
      </c>
      <c r="L85" s="25" t="s">
        <v>12</v>
      </c>
      <c r="M85" s="25" t="s">
        <v>9</v>
      </c>
      <c r="N85" s="13"/>
      <c r="O85" s="25" t="s">
        <v>94</v>
      </c>
      <c r="P85" s="25" t="s">
        <v>46</v>
      </c>
      <c r="Q85" s="25" t="s">
        <v>95</v>
      </c>
      <c r="R85" s="13"/>
      <c r="S85" s="14" t="str">
        <f>"470,0"</f>
        <v>470,0</v>
      </c>
    </row>
    <row r="86" spans="1:19" x14ac:dyDescent="0.2">
      <c r="A86" s="13">
        <v>6</v>
      </c>
      <c r="B86" s="24" t="s">
        <v>561</v>
      </c>
      <c r="C86" s="24" t="s">
        <v>294</v>
      </c>
      <c r="D86" s="24" t="s">
        <v>117</v>
      </c>
      <c r="E86" s="24" t="str">
        <f>"0,6843"</f>
        <v>0,6843</v>
      </c>
      <c r="F86" s="24" t="s">
        <v>423</v>
      </c>
      <c r="G86" s="25" t="s">
        <v>17</v>
      </c>
      <c r="H86" s="25" t="s">
        <v>94</v>
      </c>
      <c r="I86" s="26" t="s">
        <v>95</v>
      </c>
      <c r="J86" s="13"/>
      <c r="K86" s="25" t="s">
        <v>2</v>
      </c>
      <c r="L86" s="25" t="s">
        <v>3</v>
      </c>
      <c r="M86" s="26" t="s">
        <v>37</v>
      </c>
      <c r="N86" s="13"/>
      <c r="O86" s="26" t="s">
        <v>95</v>
      </c>
      <c r="P86" s="25" t="s">
        <v>95</v>
      </c>
      <c r="Q86" s="25" t="s">
        <v>129</v>
      </c>
      <c r="R86" s="13"/>
      <c r="S86" s="14" t="str">
        <f>"435,0"</f>
        <v>435,0</v>
      </c>
    </row>
    <row r="87" spans="1:19" x14ac:dyDescent="0.2">
      <c r="A87" s="8">
        <v>1</v>
      </c>
      <c r="B87" s="18" t="s">
        <v>511</v>
      </c>
      <c r="C87" s="18" t="s">
        <v>363</v>
      </c>
      <c r="D87" s="18" t="s">
        <v>119</v>
      </c>
      <c r="E87" s="18" t="str">
        <f>"0,6699"</f>
        <v>0,6699</v>
      </c>
      <c r="F87" s="18" t="s">
        <v>423</v>
      </c>
      <c r="G87" s="19" t="s">
        <v>96</v>
      </c>
      <c r="H87" s="20" t="s">
        <v>104</v>
      </c>
      <c r="I87" s="20" t="s">
        <v>104</v>
      </c>
      <c r="J87" s="8"/>
      <c r="K87" s="19" t="s">
        <v>7</v>
      </c>
      <c r="L87" s="20" t="s">
        <v>64</v>
      </c>
      <c r="M87" s="20" t="s">
        <v>64</v>
      </c>
      <c r="N87" s="8"/>
      <c r="O87" s="19" t="s">
        <v>84</v>
      </c>
      <c r="P87" s="19" t="s">
        <v>110</v>
      </c>
      <c r="Q87" s="20" t="s">
        <v>106</v>
      </c>
      <c r="R87" s="8"/>
      <c r="S87" s="11" t="str">
        <f>"525,0"</f>
        <v>525,0</v>
      </c>
    </row>
    <row r="89" spans="1:19" ht="15" x14ac:dyDescent="0.2">
      <c r="A89" s="32" t="s">
        <v>248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9" x14ac:dyDescent="0.2">
      <c r="A90" s="7" t="s">
        <v>58</v>
      </c>
      <c r="B90" s="15" t="s">
        <v>512</v>
      </c>
      <c r="C90" s="15" t="s">
        <v>402</v>
      </c>
      <c r="D90" s="15" t="s">
        <v>133</v>
      </c>
      <c r="E90" s="15" t="str">
        <f>"0,6566"</f>
        <v>0,6566</v>
      </c>
      <c r="F90" s="15" t="s">
        <v>423</v>
      </c>
      <c r="G90" s="17" t="s">
        <v>11</v>
      </c>
      <c r="H90" s="17" t="s">
        <v>11</v>
      </c>
      <c r="I90" s="7"/>
      <c r="J90" s="7"/>
      <c r="K90" s="17"/>
      <c r="L90" s="7"/>
      <c r="M90" s="7"/>
      <c r="N90" s="7"/>
      <c r="O90" s="17"/>
      <c r="P90" s="7"/>
      <c r="Q90" s="7"/>
      <c r="R90" s="7"/>
      <c r="S90" s="10">
        <v>0</v>
      </c>
    </row>
    <row r="91" spans="1:19" x14ac:dyDescent="0.2">
      <c r="A91" s="13">
        <v>1</v>
      </c>
      <c r="B91" s="24" t="s">
        <v>513</v>
      </c>
      <c r="C91" s="24" t="s">
        <v>413</v>
      </c>
      <c r="D91" s="24" t="s">
        <v>134</v>
      </c>
      <c r="E91" s="24" t="str">
        <f>"0,6410"</f>
        <v>0,6410</v>
      </c>
      <c r="F91" s="24" t="s">
        <v>447</v>
      </c>
      <c r="G91" s="25" t="s">
        <v>46</v>
      </c>
      <c r="H91" s="25" t="s">
        <v>129</v>
      </c>
      <c r="I91" s="26" t="s">
        <v>108</v>
      </c>
      <c r="J91" s="13"/>
      <c r="K91" s="25" t="s">
        <v>11</v>
      </c>
      <c r="L91" s="25" t="s">
        <v>7</v>
      </c>
      <c r="M91" s="26" t="s">
        <v>64</v>
      </c>
      <c r="N91" s="13"/>
      <c r="O91" s="26" t="s">
        <v>104</v>
      </c>
      <c r="P91" s="25" t="s">
        <v>104</v>
      </c>
      <c r="Q91" s="26" t="s">
        <v>83</v>
      </c>
      <c r="R91" s="13"/>
      <c r="S91" s="14" t="str">
        <f>"490,0"</f>
        <v>490,0</v>
      </c>
    </row>
    <row r="92" spans="1:19" x14ac:dyDescent="0.2">
      <c r="A92" s="13">
        <v>1</v>
      </c>
      <c r="B92" s="24" t="s">
        <v>492</v>
      </c>
      <c r="C92" s="24" t="s">
        <v>295</v>
      </c>
      <c r="D92" s="24" t="s">
        <v>135</v>
      </c>
      <c r="E92" s="24" t="str">
        <f>"0,6475"</f>
        <v>0,6475</v>
      </c>
      <c r="F92" s="24" t="s">
        <v>423</v>
      </c>
      <c r="G92" s="26" t="s">
        <v>136</v>
      </c>
      <c r="H92" s="25" t="s">
        <v>136</v>
      </c>
      <c r="I92" s="25" t="s">
        <v>137</v>
      </c>
      <c r="J92" s="25" t="s">
        <v>138</v>
      </c>
      <c r="K92" s="25" t="s">
        <v>94</v>
      </c>
      <c r="L92" s="25" t="s">
        <v>46</v>
      </c>
      <c r="M92" s="26" t="s">
        <v>95</v>
      </c>
      <c r="N92" s="13"/>
      <c r="O92" s="26" t="s">
        <v>121</v>
      </c>
      <c r="P92" s="25" t="s">
        <v>139</v>
      </c>
      <c r="Q92" s="26" t="s">
        <v>138</v>
      </c>
      <c r="R92" s="13"/>
      <c r="S92" s="14" t="str">
        <f>"677,5"</f>
        <v>677,5</v>
      </c>
    </row>
    <row r="93" spans="1:19" x14ac:dyDescent="0.2">
      <c r="A93" s="13">
        <v>2</v>
      </c>
      <c r="B93" s="24" t="s">
        <v>594</v>
      </c>
      <c r="C93" s="24" t="s">
        <v>296</v>
      </c>
      <c r="D93" s="24" t="s">
        <v>140</v>
      </c>
      <c r="E93" s="24" t="str">
        <f>"0,6398"</f>
        <v>0,6398</v>
      </c>
      <c r="F93" s="24" t="s">
        <v>448</v>
      </c>
      <c r="G93" s="25" t="s">
        <v>131</v>
      </c>
      <c r="H93" s="25" t="s">
        <v>90</v>
      </c>
      <c r="I93" s="25" t="s">
        <v>91</v>
      </c>
      <c r="J93" s="13"/>
      <c r="K93" s="25" t="s">
        <v>64</v>
      </c>
      <c r="L93" s="26" t="s">
        <v>57</v>
      </c>
      <c r="M93" s="26" t="s">
        <v>57</v>
      </c>
      <c r="N93" s="13"/>
      <c r="O93" s="25" t="s">
        <v>127</v>
      </c>
      <c r="P93" s="25" t="s">
        <v>141</v>
      </c>
      <c r="Q93" s="26" t="s">
        <v>142</v>
      </c>
      <c r="R93" s="13"/>
      <c r="S93" s="14" t="str">
        <f>"585,0"</f>
        <v>585,0</v>
      </c>
    </row>
    <row r="94" spans="1:19" x14ac:dyDescent="0.2">
      <c r="A94" s="13">
        <v>3</v>
      </c>
      <c r="B94" s="24" t="s">
        <v>571</v>
      </c>
      <c r="C94" s="24" t="s">
        <v>297</v>
      </c>
      <c r="D94" s="24" t="s">
        <v>143</v>
      </c>
      <c r="E94" s="24" t="str">
        <f>"0,6424"</f>
        <v>0,6424</v>
      </c>
      <c r="F94" s="24" t="s">
        <v>449</v>
      </c>
      <c r="G94" s="26" t="s">
        <v>129</v>
      </c>
      <c r="H94" s="26" t="s">
        <v>129</v>
      </c>
      <c r="I94" s="25" t="s">
        <v>129</v>
      </c>
      <c r="J94" s="13"/>
      <c r="K94" s="25" t="s">
        <v>9</v>
      </c>
      <c r="L94" s="26" t="s">
        <v>86</v>
      </c>
      <c r="M94" s="26" t="s">
        <v>86</v>
      </c>
      <c r="N94" s="13"/>
      <c r="O94" s="26" t="s">
        <v>84</v>
      </c>
      <c r="P94" s="25" t="s">
        <v>84</v>
      </c>
      <c r="Q94" s="26" t="s">
        <v>110</v>
      </c>
      <c r="R94" s="13"/>
      <c r="S94" s="14" t="str">
        <f>"520,0"</f>
        <v>520,0</v>
      </c>
    </row>
    <row r="95" spans="1:19" x14ac:dyDescent="0.2">
      <c r="A95" s="13">
        <v>1</v>
      </c>
      <c r="B95" s="24" t="s">
        <v>572</v>
      </c>
      <c r="C95" s="24" t="s">
        <v>364</v>
      </c>
      <c r="D95" s="24" t="s">
        <v>144</v>
      </c>
      <c r="E95" s="24" t="str">
        <f>"0,6444"</f>
        <v>0,6444</v>
      </c>
      <c r="F95" s="24" t="s">
        <v>450</v>
      </c>
      <c r="G95" s="25" t="s">
        <v>84</v>
      </c>
      <c r="H95" s="25" t="s">
        <v>92</v>
      </c>
      <c r="I95" s="25" t="s">
        <v>120</v>
      </c>
      <c r="J95" s="13"/>
      <c r="K95" s="25" t="s">
        <v>99</v>
      </c>
      <c r="L95" s="25" t="s">
        <v>46</v>
      </c>
      <c r="M95" s="26" t="s">
        <v>95</v>
      </c>
      <c r="N95" s="13"/>
      <c r="O95" s="25" t="s">
        <v>84</v>
      </c>
      <c r="P95" s="25" t="s">
        <v>141</v>
      </c>
      <c r="Q95" s="25" t="s">
        <v>142</v>
      </c>
      <c r="R95" s="13"/>
      <c r="S95" s="14" t="str">
        <f>"642,5"</f>
        <v>642,5</v>
      </c>
    </row>
    <row r="96" spans="1:19" x14ac:dyDescent="0.2">
      <c r="A96" s="13">
        <v>2</v>
      </c>
      <c r="B96" s="24" t="s">
        <v>485</v>
      </c>
      <c r="C96" s="24" t="s">
        <v>365</v>
      </c>
      <c r="D96" s="24" t="s">
        <v>144</v>
      </c>
      <c r="E96" s="24" t="str">
        <f>"0,6444"</f>
        <v>0,6444</v>
      </c>
      <c r="F96" s="24" t="s">
        <v>451</v>
      </c>
      <c r="G96" s="25" t="s">
        <v>86</v>
      </c>
      <c r="H96" s="25" t="s">
        <v>17</v>
      </c>
      <c r="I96" s="25" t="s">
        <v>94</v>
      </c>
      <c r="J96" s="13"/>
      <c r="K96" s="25" t="s">
        <v>57</v>
      </c>
      <c r="L96" s="25" t="s">
        <v>86</v>
      </c>
      <c r="M96" s="26" t="s">
        <v>17</v>
      </c>
      <c r="N96" s="13"/>
      <c r="O96" s="25" t="s">
        <v>96</v>
      </c>
      <c r="P96" s="25" t="s">
        <v>104</v>
      </c>
      <c r="Q96" s="25" t="s">
        <v>83</v>
      </c>
      <c r="R96" s="13"/>
      <c r="S96" s="14" t="str">
        <f>"505,0"</f>
        <v>505,0</v>
      </c>
    </row>
    <row r="97" spans="1:19" x14ac:dyDescent="0.2">
      <c r="A97" s="13">
        <v>3</v>
      </c>
      <c r="B97" s="24" t="s">
        <v>624</v>
      </c>
      <c r="C97" s="24" t="s">
        <v>366</v>
      </c>
      <c r="D97" s="24" t="s">
        <v>144</v>
      </c>
      <c r="E97" s="24" t="str">
        <f>"0,6444"</f>
        <v>0,6444</v>
      </c>
      <c r="F97" s="24" t="s">
        <v>452</v>
      </c>
      <c r="G97" s="25" t="s">
        <v>8</v>
      </c>
      <c r="H97" s="26" t="s">
        <v>9</v>
      </c>
      <c r="I97" s="26" t="s">
        <v>9</v>
      </c>
      <c r="J97" s="13"/>
      <c r="K97" s="25" t="s">
        <v>11</v>
      </c>
      <c r="L97" s="25" t="s">
        <v>7</v>
      </c>
      <c r="M97" s="26" t="s">
        <v>8</v>
      </c>
      <c r="N97" s="13"/>
      <c r="O97" s="26" t="s">
        <v>83</v>
      </c>
      <c r="P97" s="25" t="s">
        <v>83</v>
      </c>
      <c r="Q97" s="25" t="s">
        <v>84</v>
      </c>
      <c r="R97" s="13"/>
      <c r="S97" s="14" t="str">
        <f>"465,0"</f>
        <v>465,0</v>
      </c>
    </row>
    <row r="98" spans="1:19" x14ac:dyDescent="0.2">
      <c r="A98" s="13" t="s">
        <v>58</v>
      </c>
      <c r="B98" s="24" t="s">
        <v>514</v>
      </c>
      <c r="C98" s="24" t="s">
        <v>367</v>
      </c>
      <c r="D98" s="24" t="s">
        <v>145</v>
      </c>
      <c r="E98" s="24" t="str">
        <f>"0,6391"</f>
        <v>0,6391</v>
      </c>
      <c r="F98" s="24" t="s">
        <v>423</v>
      </c>
      <c r="G98" s="26" t="s">
        <v>108</v>
      </c>
      <c r="H98" s="26" t="s">
        <v>104</v>
      </c>
      <c r="I98" s="26" t="s">
        <v>104</v>
      </c>
      <c r="J98" s="13"/>
      <c r="K98" s="26"/>
      <c r="L98" s="13"/>
      <c r="M98" s="13"/>
      <c r="N98" s="13"/>
      <c r="O98" s="26"/>
      <c r="P98" s="13"/>
      <c r="Q98" s="13"/>
      <c r="R98" s="13"/>
      <c r="S98" s="14">
        <v>0</v>
      </c>
    </row>
    <row r="99" spans="1:19" x14ac:dyDescent="0.2">
      <c r="A99" s="8">
        <v>1</v>
      </c>
      <c r="B99" s="18" t="s">
        <v>492</v>
      </c>
      <c r="C99" s="18" t="s">
        <v>368</v>
      </c>
      <c r="D99" s="18" t="s">
        <v>135</v>
      </c>
      <c r="E99" s="18" t="str">
        <f>"0,6475"</f>
        <v>0,6475</v>
      </c>
      <c r="F99" s="18" t="s">
        <v>423</v>
      </c>
      <c r="G99" s="20" t="s">
        <v>136</v>
      </c>
      <c r="H99" s="19" t="s">
        <v>136</v>
      </c>
      <c r="I99" s="19" t="s">
        <v>137</v>
      </c>
      <c r="J99" s="19" t="s">
        <v>138</v>
      </c>
      <c r="K99" s="19" t="s">
        <v>94</v>
      </c>
      <c r="L99" s="19" t="s">
        <v>46</v>
      </c>
      <c r="M99" s="20" t="s">
        <v>95</v>
      </c>
      <c r="N99" s="8"/>
      <c r="O99" s="20" t="s">
        <v>121</v>
      </c>
      <c r="P99" s="19" t="s">
        <v>139</v>
      </c>
      <c r="Q99" s="20" t="s">
        <v>138</v>
      </c>
      <c r="R99" s="8"/>
      <c r="S99" s="11" t="str">
        <f>"677,5"</f>
        <v>677,5</v>
      </c>
    </row>
    <row r="101" spans="1:19" ht="15" x14ac:dyDescent="0.2">
      <c r="A101" s="32" t="s">
        <v>249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9" x14ac:dyDescent="0.2">
      <c r="A102" s="7" t="s">
        <v>58</v>
      </c>
      <c r="B102" s="15" t="s">
        <v>603</v>
      </c>
      <c r="C102" s="15" t="s">
        <v>403</v>
      </c>
      <c r="D102" s="15" t="s">
        <v>146</v>
      </c>
      <c r="E102" s="15" t="str">
        <f>"0,6356"</f>
        <v>0,6356</v>
      </c>
      <c r="F102" s="15" t="s">
        <v>423</v>
      </c>
      <c r="G102" s="17" t="s">
        <v>4</v>
      </c>
      <c r="H102" s="17" t="s">
        <v>4</v>
      </c>
      <c r="I102" s="17" t="s">
        <v>4</v>
      </c>
      <c r="J102" s="7"/>
      <c r="K102" s="17"/>
      <c r="L102" s="7"/>
      <c r="M102" s="7"/>
      <c r="N102" s="7"/>
      <c r="O102" s="17"/>
      <c r="P102" s="7"/>
      <c r="Q102" s="7"/>
      <c r="R102" s="7"/>
      <c r="S102" s="10">
        <v>0</v>
      </c>
    </row>
    <row r="103" spans="1:19" x14ac:dyDescent="0.2">
      <c r="A103" s="13">
        <v>1</v>
      </c>
      <c r="B103" s="24" t="s">
        <v>544</v>
      </c>
      <c r="C103" s="24" t="s">
        <v>414</v>
      </c>
      <c r="D103" s="24" t="s">
        <v>147</v>
      </c>
      <c r="E103" s="24" t="str">
        <f>"0,6131"</f>
        <v>0,6131</v>
      </c>
      <c r="F103" s="24" t="s">
        <v>423</v>
      </c>
      <c r="G103" s="25" t="s">
        <v>104</v>
      </c>
      <c r="H103" s="25" t="s">
        <v>83</v>
      </c>
      <c r="I103" s="26" t="s">
        <v>88</v>
      </c>
      <c r="J103" s="13"/>
      <c r="K103" s="25" t="s">
        <v>70</v>
      </c>
      <c r="L103" s="25" t="s">
        <v>86</v>
      </c>
      <c r="M103" s="26" t="s">
        <v>17</v>
      </c>
      <c r="N103" s="13"/>
      <c r="O103" s="25" t="s">
        <v>141</v>
      </c>
      <c r="P103" s="25" t="s">
        <v>142</v>
      </c>
      <c r="Q103" s="25" t="s">
        <v>136</v>
      </c>
      <c r="R103" s="26" t="s">
        <v>148</v>
      </c>
      <c r="S103" s="14" t="str">
        <f>"595,0"</f>
        <v>595,0</v>
      </c>
    </row>
    <row r="104" spans="1:19" x14ac:dyDescent="0.2">
      <c r="A104" s="13">
        <v>2</v>
      </c>
      <c r="B104" s="24" t="s">
        <v>531</v>
      </c>
      <c r="C104" s="24" t="s">
        <v>415</v>
      </c>
      <c r="D104" s="24" t="s">
        <v>149</v>
      </c>
      <c r="E104" s="24" t="str">
        <f>"0,6200"</f>
        <v>0,6200</v>
      </c>
      <c r="F104" s="24" t="s">
        <v>453</v>
      </c>
      <c r="G104" s="25" t="s">
        <v>83</v>
      </c>
      <c r="H104" s="26" t="s">
        <v>84</v>
      </c>
      <c r="I104" s="25" t="s">
        <v>84</v>
      </c>
      <c r="J104" s="13"/>
      <c r="K104" s="25" t="s">
        <v>7</v>
      </c>
      <c r="L104" s="25" t="s">
        <v>9</v>
      </c>
      <c r="M104" s="26" t="s">
        <v>57</v>
      </c>
      <c r="N104" s="13"/>
      <c r="O104" s="26" t="s">
        <v>141</v>
      </c>
      <c r="P104" s="25" t="s">
        <v>141</v>
      </c>
      <c r="Q104" s="25" t="s">
        <v>142</v>
      </c>
      <c r="R104" s="13"/>
      <c r="S104" s="14" t="str">
        <f>"587,5"</f>
        <v>587,5</v>
      </c>
    </row>
    <row r="105" spans="1:19" x14ac:dyDescent="0.2">
      <c r="A105" s="13" t="s">
        <v>58</v>
      </c>
      <c r="B105" s="24" t="s">
        <v>515</v>
      </c>
      <c r="C105" s="24" t="s">
        <v>298</v>
      </c>
      <c r="D105" s="24" t="s">
        <v>150</v>
      </c>
      <c r="E105" s="24" t="str">
        <f>"0,6111"</f>
        <v>0,6111</v>
      </c>
      <c r="F105" s="24" t="s">
        <v>423</v>
      </c>
      <c r="G105" s="25" t="s">
        <v>151</v>
      </c>
      <c r="H105" s="25" t="s">
        <v>139</v>
      </c>
      <c r="I105" s="25" t="s">
        <v>138</v>
      </c>
      <c r="J105" s="13"/>
      <c r="K105" s="26" t="s">
        <v>94</v>
      </c>
      <c r="L105" s="26" t="s">
        <v>94</v>
      </c>
      <c r="M105" s="26" t="s">
        <v>94</v>
      </c>
      <c r="N105" s="13"/>
      <c r="O105" s="26"/>
      <c r="P105" s="13"/>
      <c r="Q105" s="13"/>
      <c r="R105" s="13"/>
      <c r="S105" s="14">
        <v>0</v>
      </c>
    </row>
    <row r="106" spans="1:19" x14ac:dyDescent="0.2">
      <c r="A106" s="8">
        <v>1</v>
      </c>
      <c r="B106" s="18" t="s">
        <v>516</v>
      </c>
      <c r="C106" s="18" t="s">
        <v>369</v>
      </c>
      <c r="D106" s="18" t="s">
        <v>152</v>
      </c>
      <c r="E106" s="18" t="str">
        <f>"0,6174"</f>
        <v>0,6174</v>
      </c>
      <c r="F106" s="18" t="s">
        <v>423</v>
      </c>
      <c r="G106" s="20" t="s">
        <v>97</v>
      </c>
      <c r="H106" s="19" t="s">
        <v>115</v>
      </c>
      <c r="I106" s="19" t="s">
        <v>131</v>
      </c>
      <c r="J106" s="8"/>
      <c r="K106" s="19" t="s">
        <v>3</v>
      </c>
      <c r="L106" s="19" t="s">
        <v>27</v>
      </c>
      <c r="M106" s="19" t="s">
        <v>19</v>
      </c>
      <c r="N106" s="8"/>
      <c r="O106" s="19" t="s">
        <v>115</v>
      </c>
      <c r="P106" s="19" t="s">
        <v>127</v>
      </c>
      <c r="Q106" s="20" t="s">
        <v>141</v>
      </c>
      <c r="R106" s="8"/>
      <c r="S106" s="11" t="str">
        <f>"537,5"</f>
        <v>537,5</v>
      </c>
    </row>
    <row r="108" spans="1:19" ht="15" x14ac:dyDescent="0.2">
      <c r="A108" s="32" t="s">
        <v>250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9" x14ac:dyDescent="0.2">
      <c r="A109" s="7">
        <v>1</v>
      </c>
      <c r="B109" s="15" t="s">
        <v>545</v>
      </c>
      <c r="C109" s="15" t="s">
        <v>299</v>
      </c>
      <c r="D109" s="15" t="s">
        <v>153</v>
      </c>
      <c r="E109" s="15" t="str">
        <f>"0,5966"</f>
        <v>0,5966</v>
      </c>
      <c r="F109" s="15" t="s">
        <v>423</v>
      </c>
      <c r="G109" s="16" t="s">
        <v>154</v>
      </c>
      <c r="H109" s="16" t="s">
        <v>124</v>
      </c>
      <c r="I109" s="16" t="s">
        <v>125</v>
      </c>
      <c r="J109" s="7"/>
      <c r="K109" s="16" t="s">
        <v>108</v>
      </c>
      <c r="L109" s="16" t="s">
        <v>104</v>
      </c>
      <c r="M109" s="17" t="s">
        <v>97</v>
      </c>
      <c r="N109" s="7"/>
      <c r="O109" s="17" t="s">
        <v>124</v>
      </c>
      <c r="P109" s="16" t="s">
        <v>124</v>
      </c>
      <c r="Q109" s="17" t="s">
        <v>155</v>
      </c>
      <c r="R109" s="7"/>
      <c r="S109" s="10" t="str">
        <f>"725,0"</f>
        <v>725,0</v>
      </c>
    </row>
    <row r="110" spans="1:19" x14ac:dyDescent="0.2">
      <c r="A110" s="13">
        <v>2</v>
      </c>
      <c r="B110" s="24" t="s">
        <v>625</v>
      </c>
      <c r="C110" s="24" t="s">
        <v>300</v>
      </c>
      <c r="D110" s="24" t="s">
        <v>156</v>
      </c>
      <c r="E110" s="24" t="str">
        <f>"0,5903"</f>
        <v>0,5903</v>
      </c>
      <c r="F110" s="24" t="s">
        <v>454</v>
      </c>
      <c r="G110" s="25" t="s">
        <v>106</v>
      </c>
      <c r="H110" s="25" t="s">
        <v>120</v>
      </c>
      <c r="I110" s="25" t="s">
        <v>151</v>
      </c>
      <c r="J110" s="13"/>
      <c r="K110" s="26" t="s">
        <v>96</v>
      </c>
      <c r="L110" s="25" t="s">
        <v>108</v>
      </c>
      <c r="M110" s="25" t="s">
        <v>104</v>
      </c>
      <c r="N110" s="13"/>
      <c r="O110" s="25" t="s">
        <v>154</v>
      </c>
      <c r="P110" s="25" t="s">
        <v>125</v>
      </c>
      <c r="Q110" s="25" t="s">
        <v>155</v>
      </c>
      <c r="R110" s="13"/>
      <c r="S110" s="14" t="str">
        <f>"705,0"</f>
        <v>705,0</v>
      </c>
    </row>
    <row r="111" spans="1:19" x14ac:dyDescent="0.2">
      <c r="A111" s="8">
        <v>3</v>
      </c>
      <c r="B111" s="18" t="s">
        <v>557</v>
      </c>
      <c r="C111" s="18" t="s">
        <v>301</v>
      </c>
      <c r="D111" s="18" t="s">
        <v>157</v>
      </c>
      <c r="E111" s="18" t="str">
        <f>"0,5921"</f>
        <v>0,5921</v>
      </c>
      <c r="F111" s="18" t="s">
        <v>455</v>
      </c>
      <c r="G111" s="19" t="s">
        <v>96</v>
      </c>
      <c r="H111" s="20" t="s">
        <v>104</v>
      </c>
      <c r="I111" s="20" t="s">
        <v>97</v>
      </c>
      <c r="J111" s="8"/>
      <c r="K111" s="19" t="s">
        <v>9</v>
      </c>
      <c r="L111" s="19" t="s">
        <v>70</v>
      </c>
      <c r="M111" s="20" t="s">
        <v>57</v>
      </c>
      <c r="N111" s="8"/>
      <c r="O111" s="19" t="s">
        <v>83</v>
      </c>
      <c r="P111" s="19" t="s">
        <v>84</v>
      </c>
      <c r="Q111" s="19" t="s">
        <v>110</v>
      </c>
      <c r="R111" s="8"/>
      <c r="S111" s="11" t="str">
        <f>"537,5"</f>
        <v>537,5</v>
      </c>
    </row>
    <row r="113" spans="1:19" ht="15" x14ac:dyDescent="0.2">
      <c r="A113" s="32" t="s">
        <v>251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9" x14ac:dyDescent="0.2">
      <c r="A114" s="3">
        <v>1</v>
      </c>
      <c r="B114" s="5" t="s">
        <v>604</v>
      </c>
      <c r="C114" s="5" t="s">
        <v>302</v>
      </c>
      <c r="D114" s="5" t="s">
        <v>158</v>
      </c>
      <c r="E114" s="5" t="str">
        <f>"0,5793"</f>
        <v>0,5793</v>
      </c>
      <c r="F114" s="5" t="s">
        <v>423</v>
      </c>
      <c r="G114" s="21" t="s">
        <v>127</v>
      </c>
      <c r="H114" s="22" t="s">
        <v>106</v>
      </c>
      <c r="I114" s="21" t="s">
        <v>106</v>
      </c>
      <c r="J114" s="3"/>
      <c r="K114" s="21" t="s">
        <v>94</v>
      </c>
      <c r="L114" s="22" t="s">
        <v>46</v>
      </c>
      <c r="M114" s="22" t="s">
        <v>46</v>
      </c>
      <c r="N114" s="3"/>
      <c r="O114" s="21" t="s">
        <v>141</v>
      </c>
      <c r="P114" s="21" t="s">
        <v>151</v>
      </c>
      <c r="Q114" s="21" t="s">
        <v>136</v>
      </c>
      <c r="R114" s="3"/>
      <c r="S114" s="12" t="str">
        <f>"635,0"</f>
        <v>635,0</v>
      </c>
    </row>
    <row r="116" spans="1:19" ht="15" x14ac:dyDescent="0.2">
      <c r="F116" s="23"/>
      <c r="G116" s="4"/>
    </row>
    <row r="117" spans="1:19" x14ac:dyDescent="0.2">
      <c r="G117" s="4"/>
    </row>
  </sheetData>
  <mergeCells count="27">
    <mergeCell ref="A6:R6"/>
    <mergeCell ref="A1:S2"/>
    <mergeCell ref="A3:A4"/>
    <mergeCell ref="C3:C4"/>
    <mergeCell ref="D3:D4"/>
    <mergeCell ref="E3:E4"/>
    <mergeCell ref="F3:F4"/>
    <mergeCell ref="G3:J3"/>
    <mergeCell ref="K3:N3"/>
    <mergeCell ref="O3:R3"/>
    <mergeCell ref="A5:S5"/>
    <mergeCell ref="A113:R113"/>
    <mergeCell ref="B3:B4"/>
    <mergeCell ref="A59:R59"/>
    <mergeCell ref="A66:R66"/>
    <mergeCell ref="A76:R76"/>
    <mergeCell ref="A89:R89"/>
    <mergeCell ref="A101:R101"/>
    <mergeCell ref="A108:R108"/>
    <mergeCell ref="A9:R9"/>
    <mergeCell ref="A22:R22"/>
    <mergeCell ref="A30:R30"/>
    <mergeCell ref="A38:R38"/>
    <mergeCell ref="A48:R48"/>
    <mergeCell ref="A54:R54"/>
    <mergeCell ref="A58:S58"/>
    <mergeCell ref="S3:S4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310B2-8814-44C1-BDA5-72B15217F239}">
  <dimension ref="A1:K55"/>
  <sheetViews>
    <sheetView tabSelected="1" workbookViewId="0">
      <selection sqref="A1:K55"/>
    </sheetView>
  </sheetViews>
  <sheetFormatPr baseColWidth="10" defaultRowHeight="12.75" x14ac:dyDescent="0.2"/>
  <cols>
    <col min="2" max="2" width="20.140625" customWidth="1"/>
    <col min="3" max="3" width="24.7109375" customWidth="1"/>
    <col min="6" max="6" width="21.140625" customWidth="1"/>
  </cols>
  <sheetData>
    <row r="1" spans="1:11" x14ac:dyDescent="0.2">
      <c r="A1" s="41" t="s">
        <v>791</v>
      </c>
      <c r="B1" s="42"/>
      <c r="C1" s="43"/>
      <c r="D1" s="43"/>
      <c r="E1" s="43"/>
      <c r="F1" s="43"/>
      <c r="G1" s="43"/>
      <c r="H1" s="43"/>
      <c r="I1" s="43"/>
      <c r="J1" s="43"/>
      <c r="K1" s="43"/>
    </row>
    <row r="2" spans="1:11" ht="99.75" customHeight="1" thickBot="1" x14ac:dyDescent="0.25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">
      <c r="A3" s="47" t="s">
        <v>233</v>
      </c>
      <c r="B3" s="33" t="s">
        <v>234</v>
      </c>
      <c r="C3" s="49" t="s">
        <v>235</v>
      </c>
      <c r="D3" s="49" t="s">
        <v>254</v>
      </c>
      <c r="E3" s="51" t="s">
        <v>0</v>
      </c>
      <c r="F3" s="51" t="s">
        <v>236</v>
      </c>
      <c r="G3" s="51" t="s">
        <v>237</v>
      </c>
      <c r="H3" s="51"/>
      <c r="I3" s="51"/>
      <c r="J3" s="51"/>
      <c r="K3" s="51" t="s">
        <v>239</v>
      </c>
    </row>
    <row r="4" spans="1:11" ht="13.5" thickBot="1" x14ac:dyDescent="0.25">
      <c r="A4" s="48"/>
      <c r="B4" s="56"/>
      <c r="C4" s="50"/>
      <c r="D4" s="50"/>
      <c r="E4" s="50"/>
      <c r="F4" s="50"/>
      <c r="G4" s="30">
        <v>1</v>
      </c>
      <c r="H4" s="30">
        <v>2</v>
      </c>
      <c r="I4" s="30">
        <v>3</v>
      </c>
      <c r="J4" s="30" t="s">
        <v>238</v>
      </c>
      <c r="K4" s="50"/>
    </row>
    <row r="5" spans="1:11" ht="15.75" thickBot="1" x14ac:dyDescent="0.25">
      <c r="A5" s="52" t="s">
        <v>639</v>
      </c>
      <c r="B5" s="53"/>
      <c r="C5" s="53"/>
      <c r="D5" s="53"/>
      <c r="E5" s="53"/>
      <c r="F5" s="53"/>
      <c r="G5" s="53"/>
      <c r="H5" s="53"/>
      <c r="I5" s="53"/>
      <c r="J5" s="53"/>
      <c r="K5" s="54"/>
    </row>
    <row r="6" spans="1:11" ht="15" x14ac:dyDescent="0.2">
      <c r="A6" s="55" t="s">
        <v>244</v>
      </c>
      <c r="B6" s="55"/>
      <c r="C6" s="55"/>
      <c r="D6" s="55"/>
      <c r="E6" s="55"/>
      <c r="F6" s="55"/>
      <c r="G6" s="55"/>
      <c r="H6" s="55"/>
      <c r="I6" s="55"/>
      <c r="J6" s="55"/>
      <c r="K6" s="6"/>
    </row>
    <row r="7" spans="1:11" x14ac:dyDescent="0.2">
      <c r="A7" s="3">
        <v>1</v>
      </c>
      <c r="B7" s="5" t="s">
        <v>792</v>
      </c>
      <c r="C7" s="5" t="s">
        <v>793</v>
      </c>
      <c r="D7" s="5" t="s">
        <v>794</v>
      </c>
      <c r="E7" s="5" t="str">
        <f>"1,1478"</f>
        <v>1,1478</v>
      </c>
      <c r="F7" s="5" t="s">
        <v>432</v>
      </c>
      <c r="G7" s="21" t="s">
        <v>31</v>
      </c>
      <c r="H7" s="21" t="s">
        <v>2</v>
      </c>
      <c r="I7" s="21" t="s">
        <v>3</v>
      </c>
      <c r="J7" s="3"/>
      <c r="K7" s="3" t="str">
        <f>"100,0"</f>
        <v>100,0</v>
      </c>
    </row>
    <row r="8" spans="1:11" x14ac:dyDescent="0.2">
      <c r="A8" s="4"/>
      <c r="B8" s="4"/>
      <c r="C8" s="4"/>
      <c r="D8" s="4"/>
      <c r="E8" s="4"/>
      <c r="F8" s="4"/>
      <c r="G8" s="6"/>
      <c r="H8" s="6"/>
      <c r="I8" s="6"/>
      <c r="J8" s="6"/>
      <c r="K8" s="6"/>
    </row>
    <row r="9" spans="1:11" ht="15" x14ac:dyDescent="0.2">
      <c r="A9" s="32" t="s">
        <v>245</v>
      </c>
      <c r="B9" s="32"/>
      <c r="C9" s="32"/>
      <c r="D9" s="32"/>
      <c r="E9" s="32"/>
      <c r="F9" s="32"/>
      <c r="G9" s="32"/>
      <c r="H9" s="32"/>
      <c r="I9" s="32"/>
      <c r="J9" s="32"/>
      <c r="K9" s="6"/>
    </row>
    <row r="10" spans="1:11" x14ac:dyDescent="0.2">
      <c r="A10" s="3">
        <v>1</v>
      </c>
      <c r="B10" s="5" t="s">
        <v>795</v>
      </c>
      <c r="C10" s="5" t="s">
        <v>796</v>
      </c>
      <c r="D10" s="5" t="s">
        <v>82</v>
      </c>
      <c r="E10" s="5" t="str">
        <f>"1,0228"</f>
        <v>1,0228</v>
      </c>
      <c r="F10" s="5" t="s">
        <v>456</v>
      </c>
      <c r="G10" s="21" t="s">
        <v>19</v>
      </c>
      <c r="H10" s="21" t="s">
        <v>43</v>
      </c>
      <c r="I10" s="22" t="s">
        <v>44</v>
      </c>
      <c r="J10" s="3"/>
      <c r="K10" s="3" t="str">
        <f>"117,5"</f>
        <v>117,5</v>
      </c>
    </row>
    <row r="11" spans="1:11" ht="13.5" thickBot="1" x14ac:dyDescent="0.25">
      <c r="A11" s="4"/>
      <c r="B11" s="4"/>
      <c r="C11" s="4"/>
      <c r="D11" s="4"/>
      <c r="E11" s="4"/>
      <c r="F11" s="4"/>
      <c r="G11" s="6"/>
      <c r="H11" s="6"/>
      <c r="I11" s="6"/>
      <c r="J11" s="6"/>
      <c r="K11" s="6"/>
    </row>
    <row r="12" spans="1:11" ht="15.75" thickBot="1" x14ac:dyDescent="0.25">
      <c r="A12" s="35" t="s">
        <v>640</v>
      </c>
      <c r="B12" s="36"/>
      <c r="C12" s="36"/>
      <c r="D12" s="36"/>
      <c r="E12" s="36"/>
      <c r="F12" s="36"/>
      <c r="G12" s="36"/>
      <c r="H12" s="36"/>
      <c r="I12" s="36"/>
      <c r="J12" s="36"/>
      <c r="K12" s="37"/>
    </row>
    <row r="13" spans="1:11" ht="15" x14ac:dyDescent="0.2">
      <c r="A13" s="32" t="s">
        <v>246</v>
      </c>
      <c r="B13" s="32"/>
      <c r="C13" s="32"/>
      <c r="D13" s="32"/>
      <c r="E13" s="32"/>
      <c r="F13" s="32"/>
      <c r="G13" s="32"/>
      <c r="H13" s="32"/>
      <c r="I13" s="32"/>
      <c r="J13" s="32"/>
      <c r="K13" s="6"/>
    </row>
    <row r="14" spans="1:11" x14ac:dyDescent="0.2">
      <c r="A14" s="7">
        <v>1</v>
      </c>
      <c r="B14" s="15" t="s">
        <v>797</v>
      </c>
      <c r="C14" s="15" t="s">
        <v>798</v>
      </c>
      <c r="D14" s="15" t="s">
        <v>659</v>
      </c>
      <c r="E14" s="15" t="str">
        <f>"0,7228"</f>
        <v>0,7228</v>
      </c>
      <c r="F14" s="15" t="s">
        <v>423</v>
      </c>
      <c r="G14" s="16" t="s">
        <v>57</v>
      </c>
      <c r="H14" s="17" t="s">
        <v>17</v>
      </c>
      <c r="I14" s="17" t="s">
        <v>99</v>
      </c>
      <c r="J14" s="7"/>
      <c r="K14" s="7" t="str">
        <f>"140,0"</f>
        <v>140,0</v>
      </c>
    </row>
    <row r="15" spans="1:11" x14ac:dyDescent="0.2">
      <c r="A15" s="13">
        <v>2</v>
      </c>
      <c r="B15" s="24" t="s">
        <v>799</v>
      </c>
      <c r="C15" s="24" t="s">
        <v>800</v>
      </c>
      <c r="D15" s="24" t="s">
        <v>801</v>
      </c>
      <c r="E15" s="24" t="str">
        <f>"0,7544"</f>
        <v>0,7544</v>
      </c>
      <c r="F15" s="24" t="s">
        <v>423</v>
      </c>
      <c r="G15" s="25" t="s">
        <v>2</v>
      </c>
      <c r="H15" s="25" t="s">
        <v>4</v>
      </c>
      <c r="I15" s="25" t="s">
        <v>25</v>
      </c>
      <c r="J15" s="13"/>
      <c r="K15" s="13" t="str">
        <f>"112,5"</f>
        <v>112,5</v>
      </c>
    </row>
    <row r="16" spans="1:11" x14ac:dyDescent="0.2">
      <c r="A16" s="31">
        <v>1</v>
      </c>
      <c r="B16" s="18" t="s">
        <v>799</v>
      </c>
      <c r="C16" s="18" t="s">
        <v>802</v>
      </c>
      <c r="D16" s="18" t="s">
        <v>801</v>
      </c>
      <c r="E16" s="18" t="str">
        <f>"0,7544"</f>
        <v>0,7544</v>
      </c>
      <c r="F16" s="18" t="s">
        <v>423</v>
      </c>
      <c r="G16" s="19" t="s">
        <v>2</v>
      </c>
      <c r="H16" s="19" t="s">
        <v>4</v>
      </c>
      <c r="I16" s="19" t="s">
        <v>25</v>
      </c>
      <c r="J16" s="31"/>
      <c r="K16" s="31" t="str">
        <f>"112,5"</f>
        <v>112,5</v>
      </c>
    </row>
    <row r="17" spans="1:11" x14ac:dyDescent="0.2">
      <c r="A17" s="4"/>
      <c r="B17" s="4"/>
      <c r="C17" s="4"/>
      <c r="D17" s="4"/>
      <c r="E17" s="4"/>
      <c r="F17" s="4"/>
      <c r="G17" s="6"/>
      <c r="H17" s="6"/>
      <c r="I17" s="6"/>
      <c r="J17" s="6"/>
      <c r="K17" s="6"/>
    </row>
    <row r="18" spans="1:11" ht="15" x14ac:dyDescent="0.2">
      <c r="A18" s="32" t="s">
        <v>247</v>
      </c>
      <c r="B18" s="32"/>
      <c r="C18" s="32"/>
      <c r="D18" s="32"/>
      <c r="E18" s="32"/>
      <c r="F18" s="32"/>
      <c r="G18" s="32"/>
      <c r="H18" s="32"/>
      <c r="I18" s="32"/>
      <c r="J18" s="32"/>
      <c r="K18" s="6"/>
    </row>
    <row r="19" spans="1:11" x14ac:dyDescent="0.2">
      <c r="A19" s="7">
        <v>1</v>
      </c>
      <c r="B19" s="15" t="s">
        <v>803</v>
      </c>
      <c r="C19" s="15" t="s">
        <v>804</v>
      </c>
      <c r="D19" s="15" t="s">
        <v>805</v>
      </c>
      <c r="E19" s="15" t="str">
        <f>"0,6939"</f>
        <v>0,6939</v>
      </c>
      <c r="F19" s="15" t="s">
        <v>446</v>
      </c>
      <c r="G19" s="16" t="s">
        <v>115</v>
      </c>
      <c r="H19" s="16" t="s">
        <v>84</v>
      </c>
      <c r="I19" s="17" t="s">
        <v>127</v>
      </c>
      <c r="J19" s="7"/>
      <c r="K19" s="7" t="str">
        <f>"210,0"</f>
        <v>210,0</v>
      </c>
    </row>
    <row r="20" spans="1:11" x14ac:dyDescent="0.2">
      <c r="A20" s="13">
        <v>2</v>
      </c>
      <c r="B20" s="24" t="s">
        <v>806</v>
      </c>
      <c r="C20" s="24" t="s">
        <v>807</v>
      </c>
      <c r="D20" s="24" t="s">
        <v>808</v>
      </c>
      <c r="E20" s="24" t="str">
        <f>"0,6811"</f>
        <v>0,6811</v>
      </c>
      <c r="F20" s="24" t="s">
        <v>482</v>
      </c>
      <c r="G20" s="25" t="s">
        <v>95</v>
      </c>
      <c r="H20" s="25" t="s">
        <v>48</v>
      </c>
      <c r="I20" s="25" t="s">
        <v>166</v>
      </c>
      <c r="J20" s="13"/>
      <c r="K20" s="13" t="str">
        <f>"182,5"</f>
        <v>182,5</v>
      </c>
    </row>
    <row r="21" spans="1:11" x14ac:dyDescent="0.2">
      <c r="A21" s="13">
        <v>3</v>
      </c>
      <c r="B21" s="24" t="s">
        <v>809</v>
      </c>
      <c r="C21" s="24" t="s">
        <v>810</v>
      </c>
      <c r="D21" s="24" t="s">
        <v>119</v>
      </c>
      <c r="E21" s="24" t="str">
        <f>"0,6699"</f>
        <v>0,6699</v>
      </c>
      <c r="F21" s="24" t="s">
        <v>466</v>
      </c>
      <c r="G21" s="25" t="s">
        <v>57</v>
      </c>
      <c r="H21" s="25" t="s">
        <v>17</v>
      </c>
      <c r="I21" s="25" t="s">
        <v>99</v>
      </c>
      <c r="J21" s="13"/>
      <c r="K21" s="13" t="str">
        <f>"155,0"</f>
        <v>155,0</v>
      </c>
    </row>
    <row r="22" spans="1:11" x14ac:dyDescent="0.2">
      <c r="A22" s="31">
        <v>1</v>
      </c>
      <c r="B22" s="18" t="s">
        <v>809</v>
      </c>
      <c r="C22" s="18" t="s">
        <v>811</v>
      </c>
      <c r="D22" s="18" t="s">
        <v>119</v>
      </c>
      <c r="E22" s="18" t="str">
        <f>"0,6699"</f>
        <v>0,6699</v>
      </c>
      <c r="F22" s="18" t="s">
        <v>466</v>
      </c>
      <c r="G22" s="19" t="s">
        <v>57</v>
      </c>
      <c r="H22" s="19" t="s">
        <v>17</v>
      </c>
      <c r="I22" s="19" t="s">
        <v>99</v>
      </c>
      <c r="J22" s="31"/>
      <c r="K22" s="31" t="str">
        <f>"155,0"</f>
        <v>155,0</v>
      </c>
    </row>
    <row r="23" spans="1:11" x14ac:dyDescent="0.2">
      <c r="A23" s="4"/>
      <c r="B23" s="4"/>
      <c r="C23" s="4"/>
      <c r="D23" s="4"/>
      <c r="E23" s="4"/>
      <c r="F23" s="4"/>
      <c r="G23" s="6"/>
      <c r="H23" s="6"/>
      <c r="I23" s="6"/>
      <c r="J23" s="6"/>
      <c r="K23" s="6"/>
    </row>
    <row r="24" spans="1:11" ht="15" x14ac:dyDescent="0.2">
      <c r="A24" s="32" t="s">
        <v>248</v>
      </c>
      <c r="B24" s="32"/>
      <c r="C24" s="32"/>
      <c r="D24" s="32"/>
      <c r="E24" s="32"/>
      <c r="F24" s="32"/>
      <c r="G24" s="32"/>
      <c r="H24" s="32"/>
      <c r="I24" s="32"/>
      <c r="J24" s="32"/>
      <c r="K24" s="6"/>
    </row>
    <row r="25" spans="1:11" x14ac:dyDescent="0.2">
      <c r="A25" s="7">
        <v>1</v>
      </c>
      <c r="B25" s="15" t="s">
        <v>812</v>
      </c>
      <c r="C25" s="15" t="s">
        <v>813</v>
      </c>
      <c r="D25" s="15" t="s">
        <v>814</v>
      </c>
      <c r="E25" s="15" t="str">
        <f>"0,6395"</f>
        <v>0,6395</v>
      </c>
      <c r="F25" s="15" t="s">
        <v>451</v>
      </c>
      <c r="G25" s="16" t="s">
        <v>168</v>
      </c>
      <c r="H25" s="16" t="s">
        <v>46</v>
      </c>
      <c r="I25" s="16" t="s">
        <v>680</v>
      </c>
      <c r="J25" s="7"/>
      <c r="K25" s="7" t="str">
        <f>"167,5"</f>
        <v>167,5</v>
      </c>
    </row>
    <row r="26" spans="1:11" x14ac:dyDescent="0.2">
      <c r="A26" s="31">
        <v>2</v>
      </c>
      <c r="B26" s="18" t="s">
        <v>815</v>
      </c>
      <c r="C26" s="18" t="s">
        <v>816</v>
      </c>
      <c r="D26" s="18" t="s">
        <v>817</v>
      </c>
      <c r="E26" s="18" t="str">
        <f>"0,6436"</f>
        <v>0,6436</v>
      </c>
      <c r="F26" s="18" t="s">
        <v>435</v>
      </c>
      <c r="G26" s="20" t="s">
        <v>25</v>
      </c>
      <c r="H26" s="19" t="s">
        <v>25</v>
      </c>
      <c r="I26" s="20" t="s">
        <v>11</v>
      </c>
      <c r="J26" s="31"/>
      <c r="K26" s="31" t="str">
        <f>"112,5"</f>
        <v>112,5</v>
      </c>
    </row>
    <row r="27" spans="1:11" x14ac:dyDescent="0.2">
      <c r="A27" s="4"/>
      <c r="B27" s="4"/>
      <c r="C27" s="4"/>
      <c r="D27" s="4"/>
      <c r="E27" s="4"/>
      <c r="F27" s="4"/>
      <c r="G27" s="6"/>
      <c r="H27" s="6"/>
      <c r="I27" s="6"/>
      <c r="J27" s="6"/>
      <c r="K27" s="6"/>
    </row>
    <row r="28" spans="1:11" ht="15" x14ac:dyDescent="0.2">
      <c r="A28" s="32" t="s">
        <v>249</v>
      </c>
      <c r="B28" s="32"/>
      <c r="C28" s="32"/>
      <c r="D28" s="32"/>
      <c r="E28" s="32"/>
      <c r="F28" s="32"/>
      <c r="G28" s="32"/>
      <c r="H28" s="32"/>
      <c r="I28" s="32"/>
      <c r="J28" s="32"/>
      <c r="K28" s="6"/>
    </row>
    <row r="29" spans="1:11" x14ac:dyDescent="0.2">
      <c r="A29" s="7">
        <v>1</v>
      </c>
      <c r="B29" s="15" t="s">
        <v>818</v>
      </c>
      <c r="C29" s="15" t="s">
        <v>819</v>
      </c>
      <c r="D29" s="15" t="s">
        <v>820</v>
      </c>
      <c r="E29" s="15" t="str">
        <f>"0,6214"</f>
        <v>0,6214</v>
      </c>
      <c r="F29" s="15" t="s">
        <v>465</v>
      </c>
      <c r="G29" s="16" t="s">
        <v>108</v>
      </c>
      <c r="H29" s="16" t="s">
        <v>97</v>
      </c>
      <c r="I29" s="16" t="s">
        <v>105</v>
      </c>
      <c r="J29" s="7"/>
      <c r="K29" s="7" t="str">
        <f>"202,5"</f>
        <v>202,5</v>
      </c>
    </row>
    <row r="30" spans="1:11" x14ac:dyDescent="0.2">
      <c r="A30" s="13">
        <v>2</v>
      </c>
      <c r="B30" s="24" t="s">
        <v>821</v>
      </c>
      <c r="C30" s="24" t="s">
        <v>822</v>
      </c>
      <c r="D30" s="24" t="s">
        <v>185</v>
      </c>
      <c r="E30" s="24" t="str">
        <f>"0,6134"</f>
        <v>0,6134</v>
      </c>
      <c r="F30" s="24" t="s">
        <v>467</v>
      </c>
      <c r="G30" s="25" t="s">
        <v>108</v>
      </c>
      <c r="H30" s="25" t="s">
        <v>97</v>
      </c>
      <c r="I30" s="26" t="s">
        <v>83</v>
      </c>
      <c r="J30" s="13"/>
      <c r="K30" s="13" t="str">
        <f>"195,0"</f>
        <v>195,0</v>
      </c>
    </row>
    <row r="31" spans="1:11" x14ac:dyDescent="0.2">
      <c r="A31" s="13">
        <v>3</v>
      </c>
      <c r="B31" s="24" t="s">
        <v>823</v>
      </c>
      <c r="C31" s="24" t="s">
        <v>824</v>
      </c>
      <c r="D31" s="24" t="s">
        <v>712</v>
      </c>
      <c r="E31" s="24" t="str">
        <f>"0,6152"</f>
        <v>0,6152</v>
      </c>
      <c r="F31" s="24" t="s">
        <v>423</v>
      </c>
      <c r="G31" s="25" t="s">
        <v>96</v>
      </c>
      <c r="H31" s="25" t="s">
        <v>104</v>
      </c>
      <c r="I31" s="26" t="s">
        <v>97</v>
      </c>
      <c r="J31" s="13"/>
      <c r="K31" s="13" t="str">
        <f>"190,0"</f>
        <v>190,0</v>
      </c>
    </row>
    <row r="32" spans="1:11" x14ac:dyDescent="0.2">
      <c r="A32" s="31">
        <v>4</v>
      </c>
      <c r="B32" s="18" t="s">
        <v>825</v>
      </c>
      <c r="C32" s="18" t="s">
        <v>826</v>
      </c>
      <c r="D32" s="18" t="s">
        <v>827</v>
      </c>
      <c r="E32" s="18" t="str">
        <f>"0,6106"</f>
        <v>0,6106</v>
      </c>
      <c r="F32" s="18" t="s">
        <v>423</v>
      </c>
      <c r="G32" s="19" t="s">
        <v>47</v>
      </c>
      <c r="H32" s="19" t="s">
        <v>96</v>
      </c>
      <c r="I32" s="20" t="s">
        <v>108</v>
      </c>
      <c r="J32" s="31"/>
      <c r="K32" s="31" t="str">
        <f>"180,0"</f>
        <v>180,0</v>
      </c>
    </row>
    <row r="33" spans="1:11" x14ac:dyDescent="0.2">
      <c r="A33" s="4"/>
      <c r="B33" s="4"/>
      <c r="C33" s="4"/>
      <c r="D33" s="4"/>
      <c r="E33" s="4"/>
      <c r="F33" s="4"/>
      <c r="G33" s="6"/>
      <c r="H33" s="6"/>
      <c r="I33" s="6"/>
      <c r="J33" s="6"/>
      <c r="K33" s="6"/>
    </row>
    <row r="34" spans="1:11" ht="15" x14ac:dyDescent="0.2">
      <c r="A34" s="32" t="s">
        <v>250</v>
      </c>
      <c r="B34" s="32"/>
      <c r="C34" s="32"/>
      <c r="D34" s="32"/>
      <c r="E34" s="32"/>
      <c r="F34" s="32"/>
      <c r="G34" s="32"/>
      <c r="H34" s="32"/>
      <c r="I34" s="32"/>
      <c r="J34" s="32"/>
      <c r="K34" s="6"/>
    </row>
    <row r="35" spans="1:11" x14ac:dyDescent="0.2">
      <c r="A35" s="7">
        <v>1</v>
      </c>
      <c r="B35" s="15" t="s">
        <v>828</v>
      </c>
      <c r="C35" s="15" t="s">
        <v>829</v>
      </c>
      <c r="D35" s="15" t="s">
        <v>830</v>
      </c>
      <c r="E35" s="15" t="str">
        <f>"0,5923"</f>
        <v>0,5923</v>
      </c>
      <c r="F35" s="15" t="s">
        <v>454</v>
      </c>
      <c r="G35" s="16" t="s">
        <v>136</v>
      </c>
      <c r="H35" s="17" t="s">
        <v>154</v>
      </c>
      <c r="I35" s="7"/>
      <c r="J35" s="7"/>
      <c r="K35" s="7" t="str">
        <f>"250,0"</f>
        <v>250,0</v>
      </c>
    </row>
    <row r="36" spans="1:11" x14ac:dyDescent="0.2">
      <c r="A36" s="13">
        <v>2</v>
      </c>
      <c r="B36" s="24" t="s">
        <v>831</v>
      </c>
      <c r="C36" s="24" t="s">
        <v>832</v>
      </c>
      <c r="D36" s="24" t="s">
        <v>222</v>
      </c>
      <c r="E36" s="24" t="str">
        <f>"0,6039"</f>
        <v>0,6039</v>
      </c>
      <c r="F36" s="24" t="s">
        <v>447</v>
      </c>
      <c r="G36" s="25" t="s">
        <v>83</v>
      </c>
      <c r="H36" s="25" t="s">
        <v>88</v>
      </c>
      <c r="I36" s="26" t="s">
        <v>84</v>
      </c>
      <c r="J36" s="13"/>
      <c r="K36" s="13" t="str">
        <f>"207,5"</f>
        <v>207,5</v>
      </c>
    </row>
    <row r="37" spans="1:11" x14ac:dyDescent="0.2">
      <c r="A37" s="13">
        <v>3</v>
      </c>
      <c r="B37" s="24" t="s">
        <v>833</v>
      </c>
      <c r="C37" s="24" t="s">
        <v>834</v>
      </c>
      <c r="D37" s="24" t="s">
        <v>835</v>
      </c>
      <c r="E37" s="24" t="str">
        <f>"0,5990"</f>
        <v>0,5990</v>
      </c>
      <c r="F37" s="24" t="s">
        <v>836</v>
      </c>
      <c r="G37" s="26" t="s">
        <v>109</v>
      </c>
      <c r="H37" s="25" t="s">
        <v>83</v>
      </c>
      <c r="I37" s="25" t="s">
        <v>115</v>
      </c>
      <c r="J37" s="13"/>
      <c r="K37" s="13" t="str">
        <f>"205,0"</f>
        <v>205,0</v>
      </c>
    </row>
    <row r="38" spans="1:11" x14ac:dyDescent="0.2">
      <c r="A38" s="13">
        <v>4</v>
      </c>
      <c r="B38" s="24" t="s">
        <v>837</v>
      </c>
      <c r="C38" s="24" t="s">
        <v>838</v>
      </c>
      <c r="D38" s="24" t="s">
        <v>839</v>
      </c>
      <c r="E38" s="24" t="str">
        <f>"0,5926"</f>
        <v>0,5926</v>
      </c>
      <c r="F38" s="24" t="s">
        <v>840</v>
      </c>
      <c r="G38" s="25" t="s">
        <v>97</v>
      </c>
      <c r="H38" s="25" t="s">
        <v>83</v>
      </c>
      <c r="I38" s="25" t="s">
        <v>115</v>
      </c>
      <c r="J38" s="13"/>
      <c r="K38" s="13" t="str">
        <f>"205,0"</f>
        <v>205,0</v>
      </c>
    </row>
    <row r="39" spans="1:11" x14ac:dyDescent="0.2">
      <c r="A39" s="13">
        <v>5</v>
      </c>
      <c r="B39" s="24" t="s">
        <v>841</v>
      </c>
      <c r="C39" s="24" t="s">
        <v>842</v>
      </c>
      <c r="D39" s="24" t="s">
        <v>843</v>
      </c>
      <c r="E39" s="24" t="str">
        <f>"0,5980"</f>
        <v>0,5980</v>
      </c>
      <c r="F39" s="24" t="s">
        <v>679</v>
      </c>
      <c r="G39" s="26" t="s">
        <v>94</v>
      </c>
      <c r="H39" s="25" t="s">
        <v>94</v>
      </c>
      <c r="I39" s="26" t="s">
        <v>95</v>
      </c>
      <c r="J39" s="13"/>
      <c r="K39" s="13" t="str">
        <f>"160,0"</f>
        <v>160,0</v>
      </c>
    </row>
    <row r="40" spans="1:11" x14ac:dyDescent="0.2">
      <c r="A40" s="13">
        <v>1</v>
      </c>
      <c r="B40" s="24" t="s">
        <v>837</v>
      </c>
      <c r="C40" s="24" t="s">
        <v>844</v>
      </c>
      <c r="D40" s="24" t="s">
        <v>839</v>
      </c>
      <c r="E40" s="24" t="str">
        <f>"0,5926"</f>
        <v>0,5926</v>
      </c>
      <c r="F40" s="24" t="s">
        <v>840</v>
      </c>
      <c r="G40" s="25" t="s">
        <v>97</v>
      </c>
      <c r="H40" s="25" t="s">
        <v>83</v>
      </c>
      <c r="I40" s="25" t="s">
        <v>115</v>
      </c>
      <c r="J40" s="13"/>
      <c r="K40" s="13" t="str">
        <f>"205,0"</f>
        <v>205,0</v>
      </c>
    </row>
    <row r="41" spans="1:11" x14ac:dyDescent="0.2">
      <c r="A41" s="31">
        <v>1</v>
      </c>
      <c r="B41" s="18" t="s">
        <v>845</v>
      </c>
      <c r="C41" s="18" t="s">
        <v>846</v>
      </c>
      <c r="D41" s="18" t="s">
        <v>183</v>
      </c>
      <c r="E41" s="18" t="str">
        <f>"0,5900"</f>
        <v>0,5900</v>
      </c>
      <c r="F41" s="18" t="s">
        <v>455</v>
      </c>
      <c r="G41" s="19" t="s">
        <v>129</v>
      </c>
      <c r="H41" s="20" t="s">
        <v>96</v>
      </c>
      <c r="I41" s="20" t="s">
        <v>96</v>
      </c>
      <c r="J41" s="31"/>
      <c r="K41" s="31" t="str">
        <f>"175,0"</f>
        <v>175,0</v>
      </c>
    </row>
    <row r="42" spans="1:11" x14ac:dyDescent="0.2">
      <c r="A42" s="4"/>
      <c r="B42" s="4"/>
      <c r="C42" s="4"/>
      <c r="D42" s="4"/>
      <c r="E42" s="4"/>
      <c r="F42" s="4"/>
      <c r="G42" s="6"/>
      <c r="H42" s="6"/>
      <c r="I42" s="6"/>
      <c r="J42" s="6"/>
      <c r="K42" s="6"/>
    </row>
    <row r="43" spans="1:11" ht="15" x14ac:dyDescent="0.2">
      <c r="A43" s="32" t="s">
        <v>251</v>
      </c>
      <c r="B43" s="32"/>
      <c r="C43" s="32"/>
      <c r="D43" s="32"/>
      <c r="E43" s="32"/>
      <c r="F43" s="32"/>
      <c r="G43" s="32"/>
      <c r="H43" s="32"/>
      <c r="I43" s="32"/>
      <c r="J43" s="32"/>
      <c r="K43" s="6"/>
    </row>
    <row r="44" spans="1:11" x14ac:dyDescent="0.2">
      <c r="A44" s="7">
        <v>1</v>
      </c>
      <c r="B44" s="15" t="s">
        <v>847</v>
      </c>
      <c r="C44" s="15" t="s">
        <v>848</v>
      </c>
      <c r="D44" s="15" t="s">
        <v>849</v>
      </c>
      <c r="E44" s="15" t="str">
        <f>"0,5722"</f>
        <v>0,5722</v>
      </c>
      <c r="F44" s="15" t="s">
        <v>423</v>
      </c>
      <c r="G44" s="16" t="s">
        <v>108</v>
      </c>
      <c r="H44" s="17" t="s">
        <v>97</v>
      </c>
      <c r="I44" s="17" t="s">
        <v>83</v>
      </c>
      <c r="J44" s="7"/>
      <c r="K44" s="7" t="str">
        <f>"185,0"</f>
        <v>185,0</v>
      </c>
    </row>
    <row r="45" spans="1:11" x14ac:dyDescent="0.2">
      <c r="A45" s="13">
        <v>1</v>
      </c>
      <c r="B45" s="24" t="s">
        <v>850</v>
      </c>
      <c r="C45" s="24" t="s">
        <v>851</v>
      </c>
      <c r="D45" s="24" t="s">
        <v>852</v>
      </c>
      <c r="E45" s="24" t="str">
        <f>"0,5821"</f>
        <v>0,5821</v>
      </c>
      <c r="F45" s="24" t="s">
        <v>423</v>
      </c>
      <c r="G45" s="25" t="s">
        <v>84</v>
      </c>
      <c r="H45" s="26" t="s">
        <v>110</v>
      </c>
      <c r="I45" s="26" t="s">
        <v>110</v>
      </c>
      <c r="J45" s="13"/>
      <c r="K45" s="13" t="str">
        <f>"210,0"</f>
        <v>210,0</v>
      </c>
    </row>
    <row r="46" spans="1:11" x14ac:dyDescent="0.2">
      <c r="A46" s="13">
        <v>2</v>
      </c>
      <c r="B46" s="24" t="s">
        <v>853</v>
      </c>
      <c r="C46" s="24" t="s">
        <v>854</v>
      </c>
      <c r="D46" s="24" t="s">
        <v>855</v>
      </c>
      <c r="E46" s="24" t="str">
        <f>"0,5756"</f>
        <v>0,5756</v>
      </c>
      <c r="F46" s="24" t="s">
        <v>423</v>
      </c>
      <c r="G46" s="25" t="s">
        <v>97</v>
      </c>
      <c r="H46" s="25" t="s">
        <v>105</v>
      </c>
      <c r="I46" s="26" t="s">
        <v>84</v>
      </c>
      <c r="J46" s="13"/>
      <c r="K46" s="13" t="str">
        <f>"202,5"</f>
        <v>202,5</v>
      </c>
    </row>
    <row r="47" spans="1:11" x14ac:dyDescent="0.2">
      <c r="A47" s="13">
        <v>3</v>
      </c>
      <c r="B47" s="24" t="s">
        <v>856</v>
      </c>
      <c r="C47" s="24" t="s">
        <v>857</v>
      </c>
      <c r="D47" s="24" t="s">
        <v>858</v>
      </c>
      <c r="E47" s="24" t="str">
        <f>"0,5755"</f>
        <v>0,5755</v>
      </c>
      <c r="F47" s="24" t="s">
        <v>859</v>
      </c>
      <c r="G47" s="26" t="s">
        <v>108</v>
      </c>
      <c r="H47" s="25" t="s">
        <v>108</v>
      </c>
      <c r="I47" s="26" t="s">
        <v>104</v>
      </c>
      <c r="J47" s="13"/>
      <c r="K47" s="13" t="str">
        <f>"185,0"</f>
        <v>185,0</v>
      </c>
    </row>
    <row r="48" spans="1:11" x14ac:dyDescent="0.2">
      <c r="A48" s="13">
        <v>1</v>
      </c>
      <c r="B48" s="24" t="s">
        <v>860</v>
      </c>
      <c r="C48" s="24" t="s">
        <v>861</v>
      </c>
      <c r="D48" s="24" t="s">
        <v>862</v>
      </c>
      <c r="E48" s="24" t="str">
        <f>"0,5712"</f>
        <v>0,5712</v>
      </c>
      <c r="F48" s="24" t="s">
        <v>465</v>
      </c>
      <c r="G48" s="25" t="s">
        <v>96</v>
      </c>
      <c r="H48" s="26" t="s">
        <v>108</v>
      </c>
      <c r="I48" s="26" t="s">
        <v>108</v>
      </c>
      <c r="J48" s="13"/>
      <c r="K48" s="13" t="str">
        <f>"180,0"</f>
        <v>180,0</v>
      </c>
    </row>
    <row r="49" spans="1:11" x14ac:dyDescent="0.2">
      <c r="A49" s="31">
        <v>1</v>
      </c>
      <c r="B49" s="18" t="s">
        <v>863</v>
      </c>
      <c r="C49" s="18" t="s">
        <v>864</v>
      </c>
      <c r="D49" s="18" t="s">
        <v>865</v>
      </c>
      <c r="E49" s="18" t="str">
        <f>"0,5824"</f>
        <v>0,5824</v>
      </c>
      <c r="F49" s="18" t="s">
        <v>423</v>
      </c>
      <c r="G49" s="19" t="s">
        <v>94</v>
      </c>
      <c r="H49" s="19" t="s">
        <v>95</v>
      </c>
      <c r="I49" s="19" t="s">
        <v>129</v>
      </c>
      <c r="J49" s="31"/>
      <c r="K49" s="31" t="str">
        <f>"175,0"</f>
        <v>175,0</v>
      </c>
    </row>
    <row r="50" spans="1:11" x14ac:dyDescent="0.2">
      <c r="A50" s="4"/>
      <c r="B50" s="4"/>
      <c r="C50" s="4"/>
      <c r="D50" s="4"/>
      <c r="E50" s="4"/>
      <c r="F50" s="4"/>
      <c r="G50" s="6"/>
      <c r="H50" s="6"/>
      <c r="I50" s="6"/>
      <c r="J50" s="6"/>
      <c r="K50" s="6"/>
    </row>
    <row r="51" spans="1:11" ht="15" x14ac:dyDescent="0.2">
      <c r="A51" s="32" t="s">
        <v>252</v>
      </c>
      <c r="B51" s="32"/>
      <c r="C51" s="32"/>
      <c r="D51" s="32"/>
      <c r="E51" s="32"/>
      <c r="F51" s="32"/>
      <c r="G51" s="32"/>
      <c r="H51" s="32"/>
      <c r="I51" s="32"/>
      <c r="J51" s="32"/>
      <c r="K51" s="6"/>
    </row>
    <row r="52" spans="1:11" x14ac:dyDescent="0.2">
      <c r="A52" s="3">
        <v>1</v>
      </c>
      <c r="B52" s="5" t="s">
        <v>866</v>
      </c>
      <c r="C52" s="5" t="s">
        <v>867</v>
      </c>
      <c r="D52" s="5" t="s">
        <v>868</v>
      </c>
      <c r="E52" s="5" t="str">
        <f>"0,5588"</f>
        <v>0,5588</v>
      </c>
      <c r="F52" s="5" t="s">
        <v>869</v>
      </c>
      <c r="G52" s="21" t="s">
        <v>127</v>
      </c>
      <c r="H52" s="21" t="s">
        <v>91</v>
      </c>
      <c r="I52" s="22" t="s">
        <v>92</v>
      </c>
      <c r="J52" s="3"/>
      <c r="K52" s="3" t="str">
        <f>"222,5"</f>
        <v>222,5</v>
      </c>
    </row>
    <row r="53" spans="1:11" x14ac:dyDescent="0.2">
      <c r="A53" s="4"/>
      <c r="B53" s="4"/>
      <c r="C53" s="4"/>
      <c r="D53" s="4"/>
      <c r="E53" s="4"/>
      <c r="F53" s="4"/>
      <c r="G53" s="6"/>
      <c r="H53" s="6"/>
      <c r="I53" s="6"/>
      <c r="J53" s="6"/>
      <c r="K53" s="6"/>
    </row>
    <row r="54" spans="1:11" ht="15" x14ac:dyDescent="0.2">
      <c r="A54" s="32" t="s">
        <v>253</v>
      </c>
      <c r="B54" s="32"/>
      <c r="C54" s="32"/>
      <c r="D54" s="32"/>
      <c r="E54" s="32"/>
      <c r="F54" s="32"/>
      <c r="G54" s="32"/>
      <c r="H54" s="32"/>
      <c r="I54" s="32"/>
      <c r="J54" s="32"/>
      <c r="K54" s="6"/>
    </row>
    <row r="55" spans="1:11" x14ac:dyDescent="0.2">
      <c r="A55" s="3">
        <v>1</v>
      </c>
      <c r="B55" s="5" t="s">
        <v>870</v>
      </c>
      <c r="C55" s="5" t="s">
        <v>871</v>
      </c>
      <c r="D55" s="5" t="s">
        <v>872</v>
      </c>
      <c r="E55" s="5" t="str">
        <f>"0,5554"</f>
        <v>0,5554</v>
      </c>
      <c r="F55" s="5" t="s">
        <v>873</v>
      </c>
      <c r="G55" s="21" t="s">
        <v>104</v>
      </c>
      <c r="H55" s="22" t="s">
        <v>127</v>
      </c>
      <c r="I55" s="22" t="s">
        <v>127</v>
      </c>
      <c r="J55" s="3"/>
      <c r="K55" s="3" t="str">
        <f>"190,0"</f>
        <v>190,0</v>
      </c>
    </row>
  </sheetData>
  <mergeCells count="21">
    <mergeCell ref="A24:J24"/>
    <mergeCell ref="A28:J28"/>
    <mergeCell ref="A34:J34"/>
    <mergeCell ref="A43:J43"/>
    <mergeCell ref="A51:J51"/>
    <mergeCell ref="A54:J54"/>
    <mergeCell ref="A5:K5"/>
    <mergeCell ref="A6:J6"/>
    <mergeCell ref="A9:J9"/>
    <mergeCell ref="A12:K12"/>
    <mergeCell ref="A13:J13"/>
    <mergeCell ref="A18:J18"/>
    <mergeCell ref="A1:K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S29"/>
  <sheetViews>
    <sheetView workbookViewId="0">
      <selection activeCell="A19" sqref="A19:XFD19"/>
    </sheetView>
  </sheetViews>
  <sheetFormatPr baseColWidth="10" defaultColWidth="9.140625" defaultRowHeight="12.75" x14ac:dyDescent="0.2"/>
  <cols>
    <col min="1" max="1" width="7.140625" style="4" bestFit="1" customWidth="1"/>
    <col min="2" max="2" width="20" style="4" bestFit="1" customWidth="1"/>
    <col min="3" max="3" width="28.7109375" style="4" bestFit="1" customWidth="1"/>
    <col min="4" max="4" width="8.42578125" style="4" bestFit="1" customWidth="1"/>
    <col min="5" max="5" width="10.140625" style="4" bestFit="1" customWidth="1"/>
    <col min="6" max="6" width="23.140625" style="4" customWidth="1"/>
    <col min="7" max="9" width="5.42578125" style="6" customWidth="1"/>
    <col min="10" max="10" width="4.42578125" style="6" customWidth="1"/>
    <col min="11" max="13" width="5.42578125" style="6" customWidth="1"/>
    <col min="14" max="14" width="4.42578125" style="6" customWidth="1"/>
    <col min="15" max="17" width="5.42578125" style="6" customWidth="1"/>
    <col min="18" max="18" width="4.42578125" style="6" customWidth="1"/>
    <col min="19" max="19" width="7.7109375" style="9" bestFit="1" customWidth="1"/>
    <col min="20" max="16384" width="9.140625" style="2"/>
  </cols>
  <sheetData>
    <row r="1" spans="1:19" s="1" customFormat="1" ht="29.1" customHeight="1" x14ac:dyDescent="0.2">
      <c r="A1" s="41" t="s">
        <v>642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62.1" customHeight="1" thickBot="1" x14ac:dyDescent="0.25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s="6" customFormat="1" ht="12.75" customHeight="1" x14ac:dyDescent="0.2">
      <c r="A3" s="47" t="s">
        <v>233</v>
      </c>
      <c r="B3" s="33" t="s">
        <v>234</v>
      </c>
      <c r="C3" s="49" t="s">
        <v>235</v>
      </c>
      <c r="D3" s="49" t="s">
        <v>254</v>
      </c>
      <c r="E3" s="51" t="s">
        <v>0</v>
      </c>
      <c r="F3" s="51" t="s">
        <v>236</v>
      </c>
      <c r="G3" s="51" t="s">
        <v>421</v>
      </c>
      <c r="H3" s="51"/>
      <c r="I3" s="51"/>
      <c r="J3" s="51"/>
      <c r="K3" s="51" t="s">
        <v>237</v>
      </c>
      <c r="L3" s="51"/>
      <c r="M3" s="51"/>
      <c r="N3" s="51"/>
      <c r="O3" s="51" t="s">
        <v>422</v>
      </c>
      <c r="P3" s="51"/>
      <c r="Q3" s="51"/>
      <c r="R3" s="51"/>
      <c r="S3" s="38" t="s">
        <v>240</v>
      </c>
    </row>
    <row r="4" spans="1:19" s="6" customFormat="1" ht="21" customHeight="1" thickBot="1" x14ac:dyDescent="0.25">
      <c r="A4" s="48"/>
      <c r="B4" s="34"/>
      <c r="C4" s="50"/>
      <c r="D4" s="50"/>
      <c r="E4" s="50"/>
      <c r="F4" s="50"/>
      <c r="G4" s="28">
        <v>1</v>
      </c>
      <c r="H4" s="28">
        <v>2</v>
      </c>
      <c r="I4" s="28">
        <v>3</v>
      </c>
      <c r="J4" s="28" t="s">
        <v>238</v>
      </c>
      <c r="K4" s="28">
        <v>1</v>
      </c>
      <c r="L4" s="28">
        <v>2</v>
      </c>
      <c r="M4" s="28">
        <v>3</v>
      </c>
      <c r="N4" s="28" t="s">
        <v>238</v>
      </c>
      <c r="O4" s="28">
        <v>1</v>
      </c>
      <c r="P4" s="28">
        <v>2</v>
      </c>
      <c r="Q4" s="28">
        <v>3</v>
      </c>
      <c r="R4" s="28" t="s">
        <v>238</v>
      </c>
      <c r="S4" s="39"/>
    </row>
    <row r="5" spans="1:19" ht="15.75" thickBot="1" x14ac:dyDescent="0.25">
      <c r="A5" s="52" t="s">
        <v>639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4"/>
    </row>
    <row r="6" spans="1:19" ht="15" x14ac:dyDescent="0.2">
      <c r="A6" s="55" t="s">
        <v>242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9" x14ac:dyDescent="0.2">
      <c r="A7" s="3">
        <v>1</v>
      </c>
      <c r="B7" s="5" t="s">
        <v>626</v>
      </c>
      <c r="C7" s="5" t="s">
        <v>303</v>
      </c>
      <c r="D7" s="5" t="s">
        <v>172</v>
      </c>
      <c r="E7" s="5" t="str">
        <f>"1,2769"</f>
        <v>1,2769</v>
      </c>
      <c r="F7" s="5" t="s">
        <v>435</v>
      </c>
      <c r="G7" s="21" t="s">
        <v>30</v>
      </c>
      <c r="H7" s="21" t="s">
        <v>31</v>
      </c>
      <c r="I7" s="22" t="s">
        <v>3</v>
      </c>
      <c r="J7" s="3"/>
      <c r="K7" s="22" t="s">
        <v>35</v>
      </c>
      <c r="L7" s="21" t="s">
        <v>35</v>
      </c>
      <c r="M7" s="21" t="s">
        <v>5</v>
      </c>
      <c r="N7" s="3"/>
      <c r="O7" s="22" t="s">
        <v>37</v>
      </c>
      <c r="P7" s="22" t="s">
        <v>37</v>
      </c>
      <c r="Q7" s="21" t="s">
        <v>37</v>
      </c>
      <c r="R7" s="3"/>
      <c r="S7" s="12" t="str">
        <f>"232,5"</f>
        <v>232,5</v>
      </c>
    </row>
    <row r="9" spans="1:19" ht="15" x14ac:dyDescent="0.2">
      <c r="A9" s="32" t="s">
        <v>244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9" x14ac:dyDescent="0.2">
      <c r="A10" s="3">
        <v>1</v>
      </c>
      <c r="B10" s="5" t="s">
        <v>605</v>
      </c>
      <c r="C10" s="5" t="s">
        <v>304</v>
      </c>
      <c r="D10" s="5" t="s">
        <v>173</v>
      </c>
      <c r="E10" s="5" t="str">
        <f>"1,1236"</f>
        <v>1,1236</v>
      </c>
      <c r="F10" s="5" t="s">
        <v>423</v>
      </c>
      <c r="G10" s="21" t="s">
        <v>20</v>
      </c>
      <c r="H10" s="22" t="s">
        <v>11</v>
      </c>
      <c r="I10" s="22" t="s">
        <v>7</v>
      </c>
      <c r="J10" s="3"/>
      <c r="K10" s="21" t="s">
        <v>23</v>
      </c>
      <c r="L10" s="22" t="s">
        <v>24</v>
      </c>
      <c r="M10" s="22" t="s">
        <v>24</v>
      </c>
      <c r="N10" s="3"/>
      <c r="O10" s="21" t="s">
        <v>19</v>
      </c>
      <c r="P10" s="21" t="s">
        <v>43</v>
      </c>
      <c r="Q10" s="22" t="s">
        <v>12</v>
      </c>
      <c r="R10" s="3"/>
      <c r="S10" s="12" t="str">
        <f>"295,0"</f>
        <v>295,0</v>
      </c>
    </row>
    <row r="12" spans="1:19" ht="15" x14ac:dyDescent="0.2">
      <c r="A12" s="32" t="s">
        <v>247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9" x14ac:dyDescent="0.2">
      <c r="A13" s="3">
        <v>1</v>
      </c>
      <c r="B13" s="5" t="s">
        <v>627</v>
      </c>
      <c r="C13" s="5" t="s">
        <v>305</v>
      </c>
      <c r="D13" s="5" t="s">
        <v>174</v>
      </c>
      <c r="E13" s="5" t="str">
        <f>"0,9156"</f>
        <v>0,9156</v>
      </c>
      <c r="F13" s="5" t="s">
        <v>453</v>
      </c>
      <c r="G13" s="21" t="s">
        <v>19</v>
      </c>
      <c r="H13" s="21" t="s">
        <v>44</v>
      </c>
      <c r="I13" s="22" t="s">
        <v>64</v>
      </c>
      <c r="J13" s="3"/>
      <c r="K13" s="21" t="s">
        <v>22</v>
      </c>
      <c r="L13" s="21" t="s">
        <v>24</v>
      </c>
      <c r="M13" s="22" t="s">
        <v>69</v>
      </c>
      <c r="N13" s="3"/>
      <c r="O13" s="21" t="s">
        <v>4</v>
      </c>
      <c r="P13" s="22" t="s">
        <v>20</v>
      </c>
      <c r="Q13" s="22" t="s">
        <v>20</v>
      </c>
      <c r="R13" s="3"/>
      <c r="S13" s="12" t="str">
        <f>"292,5"</f>
        <v>292,5</v>
      </c>
    </row>
    <row r="15" spans="1:19" ht="15" x14ac:dyDescent="0.2">
      <c r="A15" s="32" t="s">
        <v>248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9" x14ac:dyDescent="0.2">
      <c r="A16" s="7">
        <v>1</v>
      </c>
      <c r="B16" s="15" t="s">
        <v>567</v>
      </c>
      <c r="C16" s="15" t="s">
        <v>306</v>
      </c>
      <c r="D16" s="15" t="s">
        <v>143</v>
      </c>
      <c r="E16" s="15" t="str">
        <f>"0,6424"</f>
        <v>0,6424</v>
      </c>
      <c r="F16" s="15" t="s">
        <v>458</v>
      </c>
      <c r="G16" s="16" t="s">
        <v>110</v>
      </c>
      <c r="H16" s="16" t="s">
        <v>141</v>
      </c>
      <c r="I16" s="17" t="s">
        <v>151</v>
      </c>
      <c r="J16" s="7"/>
      <c r="K16" s="16" t="s">
        <v>12</v>
      </c>
      <c r="L16" s="16" t="s">
        <v>9</v>
      </c>
      <c r="M16" s="16" t="s">
        <v>57</v>
      </c>
      <c r="N16" s="7"/>
      <c r="O16" s="16" t="s">
        <v>110</v>
      </c>
      <c r="P16" s="16" t="s">
        <v>141</v>
      </c>
      <c r="Q16" s="16" t="s">
        <v>151</v>
      </c>
      <c r="R16" s="7"/>
      <c r="S16" s="10" t="str">
        <f>"610,0"</f>
        <v>610,0</v>
      </c>
    </row>
    <row r="17" spans="1:19" x14ac:dyDescent="0.2">
      <c r="A17" s="8">
        <v>2</v>
      </c>
      <c r="B17" s="18" t="s">
        <v>532</v>
      </c>
      <c r="C17" s="18" t="s">
        <v>307</v>
      </c>
      <c r="D17" s="18" t="s">
        <v>175</v>
      </c>
      <c r="E17" s="18" t="str">
        <f>"0,6463"</f>
        <v>0,6463</v>
      </c>
      <c r="F17" s="18" t="s">
        <v>459</v>
      </c>
      <c r="G17" s="19" t="s">
        <v>104</v>
      </c>
      <c r="H17" s="19" t="s">
        <v>83</v>
      </c>
      <c r="I17" s="19" t="s">
        <v>115</v>
      </c>
      <c r="J17" s="8"/>
      <c r="K17" s="19" t="s">
        <v>19</v>
      </c>
      <c r="L17" s="20" t="s">
        <v>43</v>
      </c>
      <c r="M17" s="8"/>
      <c r="N17" s="8"/>
      <c r="O17" s="19" t="s">
        <v>104</v>
      </c>
      <c r="P17" s="19" t="s">
        <v>83</v>
      </c>
      <c r="Q17" s="19" t="s">
        <v>115</v>
      </c>
      <c r="R17" s="8"/>
      <c r="S17" s="11" t="str">
        <f>"520,0"</f>
        <v>520,0</v>
      </c>
    </row>
    <row r="18" spans="1:19" ht="13.5" thickBot="1" x14ac:dyDescent="0.25"/>
    <row r="19" spans="1:19" ht="15.75" thickBot="1" x14ac:dyDescent="0.25">
      <c r="A19" s="35" t="s">
        <v>640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</row>
    <row r="20" spans="1:19" ht="15" x14ac:dyDescent="0.2">
      <c r="A20" s="32" t="s">
        <v>250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9" x14ac:dyDescent="0.2">
      <c r="A21" s="7">
        <v>1</v>
      </c>
      <c r="B21" s="15" t="s">
        <v>558</v>
      </c>
      <c r="C21" s="15" t="s">
        <v>308</v>
      </c>
      <c r="D21" s="15" t="s">
        <v>176</v>
      </c>
      <c r="E21" s="15" t="str">
        <f>"0,5919"</f>
        <v>0,5919</v>
      </c>
      <c r="F21" s="15" t="s">
        <v>460</v>
      </c>
      <c r="G21" s="17" t="s">
        <v>104</v>
      </c>
      <c r="H21" s="17" t="s">
        <v>104</v>
      </c>
      <c r="I21" s="16" t="s">
        <v>104</v>
      </c>
      <c r="J21" s="7"/>
      <c r="K21" s="16" t="s">
        <v>94</v>
      </c>
      <c r="L21" s="16" t="s">
        <v>95</v>
      </c>
      <c r="M21" s="17" t="s">
        <v>48</v>
      </c>
      <c r="N21" s="7"/>
      <c r="O21" s="16" t="s">
        <v>83</v>
      </c>
      <c r="P21" s="16" t="s">
        <v>110</v>
      </c>
      <c r="Q21" s="16" t="s">
        <v>151</v>
      </c>
      <c r="R21" s="7"/>
      <c r="S21" s="10" t="str">
        <f>"600,0"</f>
        <v>600,0</v>
      </c>
    </row>
    <row r="22" spans="1:19" x14ac:dyDescent="0.2">
      <c r="A22" s="8" t="s">
        <v>58</v>
      </c>
      <c r="B22" s="18" t="s">
        <v>573</v>
      </c>
      <c r="C22" s="18" t="s">
        <v>309</v>
      </c>
      <c r="D22" s="18" t="s">
        <v>177</v>
      </c>
      <c r="E22" s="18" t="str">
        <f>"0,5943"</f>
        <v>0,5943</v>
      </c>
      <c r="F22" s="18" t="s">
        <v>423</v>
      </c>
      <c r="G22" s="19" t="s">
        <v>151</v>
      </c>
      <c r="H22" s="19" t="s">
        <v>139</v>
      </c>
      <c r="I22" s="20" t="s">
        <v>154</v>
      </c>
      <c r="J22" s="8"/>
      <c r="K22" s="20" t="s">
        <v>57</v>
      </c>
      <c r="L22" s="20" t="s">
        <v>57</v>
      </c>
      <c r="M22" s="20" t="s">
        <v>57</v>
      </c>
      <c r="N22" s="8"/>
      <c r="O22" s="20"/>
      <c r="P22" s="8"/>
      <c r="Q22" s="8"/>
      <c r="R22" s="8"/>
      <c r="S22" s="11">
        <v>0</v>
      </c>
    </row>
    <row r="24" spans="1:19" ht="15" x14ac:dyDescent="0.2">
      <c r="A24" s="32" t="s">
        <v>251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9" x14ac:dyDescent="0.2">
      <c r="A25" s="7">
        <v>1</v>
      </c>
      <c r="B25" s="15" t="s">
        <v>493</v>
      </c>
      <c r="C25" s="15" t="s">
        <v>310</v>
      </c>
      <c r="D25" s="15" t="s">
        <v>178</v>
      </c>
      <c r="E25" s="15" t="str">
        <f>"0,5707"</f>
        <v>0,5707</v>
      </c>
      <c r="F25" s="15" t="s">
        <v>461</v>
      </c>
      <c r="G25" s="16" t="s">
        <v>155</v>
      </c>
      <c r="H25" s="16" t="s">
        <v>169</v>
      </c>
      <c r="I25" s="16" t="s">
        <v>164</v>
      </c>
      <c r="J25" s="7"/>
      <c r="K25" s="16" t="s">
        <v>46</v>
      </c>
      <c r="L25" s="16" t="s">
        <v>129</v>
      </c>
      <c r="M25" s="17" t="s">
        <v>96</v>
      </c>
      <c r="N25" s="7"/>
      <c r="O25" s="16" t="s">
        <v>162</v>
      </c>
      <c r="P25" s="16" t="s">
        <v>165</v>
      </c>
      <c r="Q25" s="17" t="s">
        <v>179</v>
      </c>
      <c r="R25" s="7"/>
      <c r="S25" s="10" t="str">
        <f>"785,0"</f>
        <v>785,0</v>
      </c>
    </row>
    <row r="26" spans="1:19" x14ac:dyDescent="0.2">
      <c r="A26" s="8">
        <v>2</v>
      </c>
      <c r="B26" s="18" t="s">
        <v>559</v>
      </c>
      <c r="C26" s="18" t="s">
        <v>311</v>
      </c>
      <c r="D26" s="18" t="s">
        <v>180</v>
      </c>
      <c r="E26" s="18" t="str">
        <f>"0,5711"</f>
        <v>0,5711</v>
      </c>
      <c r="F26" s="18" t="s">
        <v>462</v>
      </c>
      <c r="G26" s="20" t="s">
        <v>83</v>
      </c>
      <c r="H26" s="19" t="s">
        <v>84</v>
      </c>
      <c r="I26" s="19" t="s">
        <v>141</v>
      </c>
      <c r="J26" s="8"/>
      <c r="K26" s="19" t="s">
        <v>86</v>
      </c>
      <c r="L26" s="20" t="s">
        <v>99</v>
      </c>
      <c r="M26" s="19" t="s">
        <v>99</v>
      </c>
      <c r="N26" s="8"/>
      <c r="O26" s="19" t="s">
        <v>104</v>
      </c>
      <c r="P26" s="19" t="s">
        <v>84</v>
      </c>
      <c r="Q26" s="19" t="s">
        <v>110</v>
      </c>
      <c r="R26" s="8"/>
      <c r="S26" s="11" t="str">
        <f>"605,0"</f>
        <v>605,0</v>
      </c>
    </row>
    <row r="28" spans="1:19" ht="15" x14ac:dyDescent="0.2">
      <c r="A28" s="32" t="s">
        <v>252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9" x14ac:dyDescent="0.2">
      <c r="A29" s="3">
        <v>1</v>
      </c>
      <c r="B29" s="5" t="s">
        <v>517</v>
      </c>
      <c r="C29" s="5" t="s">
        <v>312</v>
      </c>
      <c r="D29" s="5" t="s">
        <v>181</v>
      </c>
      <c r="E29" s="5" t="str">
        <f>"0,5597"</f>
        <v>0,5597</v>
      </c>
      <c r="F29" s="5" t="s">
        <v>451</v>
      </c>
      <c r="G29" s="21" t="s">
        <v>84</v>
      </c>
      <c r="H29" s="21" t="s">
        <v>90</v>
      </c>
      <c r="I29" s="21" t="s">
        <v>91</v>
      </c>
      <c r="J29" s="3"/>
      <c r="K29" s="21" t="s">
        <v>123</v>
      </c>
      <c r="L29" s="22" t="s">
        <v>99</v>
      </c>
      <c r="M29" s="21" t="s">
        <v>99</v>
      </c>
      <c r="N29" s="3"/>
      <c r="O29" s="21" t="s">
        <v>110</v>
      </c>
      <c r="P29" s="21" t="s">
        <v>141</v>
      </c>
      <c r="Q29" s="21" t="s">
        <v>151</v>
      </c>
      <c r="R29" s="3"/>
      <c r="S29" s="12" t="str">
        <f>"617,5"</f>
        <v>617,5</v>
      </c>
    </row>
  </sheetData>
  <mergeCells count="20">
    <mergeCell ref="A1:S2"/>
    <mergeCell ref="A3:A4"/>
    <mergeCell ref="C3:C4"/>
    <mergeCell ref="D3:D4"/>
    <mergeCell ref="E3:E4"/>
    <mergeCell ref="F3:F4"/>
    <mergeCell ref="G3:J3"/>
    <mergeCell ref="K3:N3"/>
    <mergeCell ref="O3:R3"/>
    <mergeCell ref="A28:R28"/>
    <mergeCell ref="B3:B4"/>
    <mergeCell ref="A9:R9"/>
    <mergeCell ref="A12:R12"/>
    <mergeCell ref="A15:R15"/>
    <mergeCell ref="A20:R20"/>
    <mergeCell ref="A24:R24"/>
    <mergeCell ref="A19:S19"/>
    <mergeCell ref="S3:S4"/>
    <mergeCell ref="A6:R6"/>
    <mergeCell ref="A5:S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S7"/>
  <sheetViews>
    <sheetView workbookViewId="0">
      <selection activeCell="E16" sqref="E16"/>
    </sheetView>
  </sheetViews>
  <sheetFormatPr baseColWidth="10" defaultColWidth="9.140625" defaultRowHeight="12.75" x14ac:dyDescent="0.2"/>
  <cols>
    <col min="1" max="1" width="7.140625" style="4" bestFit="1" customWidth="1"/>
    <col min="2" max="2" width="19.7109375" style="4" customWidth="1"/>
    <col min="3" max="3" width="28.7109375" style="4" bestFit="1" customWidth="1"/>
    <col min="4" max="4" width="8.42578125" style="4" bestFit="1" customWidth="1"/>
    <col min="5" max="5" width="10.140625" style="4" bestFit="1" customWidth="1"/>
    <col min="6" max="6" width="20.85546875" style="4" customWidth="1"/>
    <col min="7" max="9" width="5.42578125" style="6" customWidth="1"/>
    <col min="10" max="10" width="4.42578125" style="6" customWidth="1"/>
    <col min="11" max="13" width="5.42578125" style="6" customWidth="1"/>
    <col min="14" max="14" width="4.42578125" style="6" customWidth="1"/>
    <col min="15" max="17" width="5.42578125" style="6" customWidth="1"/>
    <col min="18" max="18" width="4.42578125" style="6" customWidth="1"/>
    <col min="19" max="19" width="7.7109375" style="6" bestFit="1" customWidth="1"/>
    <col min="20" max="16384" width="9.140625" style="2"/>
  </cols>
  <sheetData>
    <row r="1" spans="1:19" s="1" customFormat="1" ht="29.1" customHeight="1" x14ac:dyDescent="0.2">
      <c r="A1" s="41" t="s">
        <v>643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62.1" customHeight="1" thickBot="1" x14ac:dyDescent="0.25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s="6" customFormat="1" ht="12.75" customHeight="1" x14ac:dyDescent="0.2">
      <c r="A3" s="47" t="s">
        <v>233</v>
      </c>
      <c r="B3" s="33" t="s">
        <v>234</v>
      </c>
      <c r="C3" s="49" t="s">
        <v>235</v>
      </c>
      <c r="D3" s="49" t="s">
        <v>254</v>
      </c>
      <c r="E3" s="51" t="s">
        <v>0</v>
      </c>
      <c r="F3" s="51" t="s">
        <v>236</v>
      </c>
      <c r="G3" s="51" t="s">
        <v>421</v>
      </c>
      <c r="H3" s="51"/>
      <c r="I3" s="51"/>
      <c r="J3" s="51"/>
      <c r="K3" s="51" t="s">
        <v>237</v>
      </c>
      <c r="L3" s="51"/>
      <c r="M3" s="51"/>
      <c r="N3" s="51"/>
      <c r="O3" s="51" t="s">
        <v>422</v>
      </c>
      <c r="P3" s="51"/>
      <c r="Q3" s="51"/>
      <c r="R3" s="51"/>
      <c r="S3" s="51" t="s">
        <v>240</v>
      </c>
    </row>
    <row r="4" spans="1:19" s="6" customFormat="1" ht="21" customHeight="1" thickBot="1" x14ac:dyDescent="0.25">
      <c r="A4" s="48"/>
      <c r="B4" s="34"/>
      <c r="C4" s="50"/>
      <c r="D4" s="50"/>
      <c r="E4" s="50"/>
      <c r="F4" s="50"/>
      <c r="G4" s="28">
        <v>1</v>
      </c>
      <c r="H4" s="28">
        <v>2</v>
      </c>
      <c r="I4" s="28">
        <v>3</v>
      </c>
      <c r="J4" s="28" t="s">
        <v>238</v>
      </c>
      <c r="K4" s="28">
        <v>1</v>
      </c>
      <c r="L4" s="28">
        <v>2</v>
      </c>
      <c r="M4" s="28">
        <v>3</v>
      </c>
      <c r="N4" s="28" t="s">
        <v>238</v>
      </c>
      <c r="O4" s="28">
        <v>1</v>
      </c>
      <c r="P4" s="28">
        <v>2</v>
      </c>
      <c r="Q4" s="28">
        <v>3</v>
      </c>
      <c r="R4" s="28" t="s">
        <v>238</v>
      </c>
      <c r="S4" s="50"/>
    </row>
    <row r="5" spans="1:19" ht="15.75" thickBot="1" x14ac:dyDescent="0.25">
      <c r="A5" s="35" t="s">
        <v>640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5" x14ac:dyDescent="0.2">
      <c r="A6" s="55" t="s">
        <v>249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9" x14ac:dyDescent="0.2">
      <c r="A7" s="3">
        <v>1</v>
      </c>
      <c r="B7" s="5" t="s">
        <v>486</v>
      </c>
      <c r="C7" s="5" t="s">
        <v>370</v>
      </c>
      <c r="D7" s="5" t="s">
        <v>149</v>
      </c>
      <c r="E7" s="5" t="str">
        <f>"0,6200"</f>
        <v>0,6200</v>
      </c>
      <c r="F7" s="5" t="s">
        <v>466</v>
      </c>
      <c r="G7" s="21" t="s">
        <v>83</v>
      </c>
      <c r="H7" s="22" t="s">
        <v>84</v>
      </c>
      <c r="I7" s="21" t="s">
        <v>127</v>
      </c>
      <c r="J7" s="3"/>
      <c r="K7" s="21" t="s">
        <v>99</v>
      </c>
      <c r="L7" s="21" t="s">
        <v>46</v>
      </c>
      <c r="M7" s="21" t="s">
        <v>129</v>
      </c>
      <c r="N7" s="3"/>
      <c r="O7" s="21" t="s">
        <v>110</v>
      </c>
      <c r="P7" s="21" t="s">
        <v>141</v>
      </c>
      <c r="Q7" s="21" t="s">
        <v>151</v>
      </c>
      <c r="R7" s="3"/>
      <c r="S7" s="3" t="str">
        <f>"630,0"</f>
        <v>630,0</v>
      </c>
    </row>
  </sheetData>
  <mergeCells count="13">
    <mergeCell ref="A6:R6"/>
    <mergeCell ref="B3:B4"/>
    <mergeCell ref="A1:S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A5:S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2"/>
  <dimension ref="A1:U116"/>
  <sheetViews>
    <sheetView workbookViewId="0">
      <selection activeCell="A37" sqref="A37:XFD37"/>
    </sheetView>
  </sheetViews>
  <sheetFormatPr baseColWidth="10" defaultColWidth="9.140625" defaultRowHeight="12.75" x14ac:dyDescent="0.2"/>
  <cols>
    <col min="1" max="1" width="7.140625" style="4" bestFit="1" customWidth="1"/>
    <col min="2" max="2" width="21.28515625" style="4" bestFit="1" customWidth="1"/>
    <col min="3" max="3" width="28.85546875" style="4" bestFit="1" customWidth="1"/>
    <col min="4" max="4" width="20.85546875" style="4" bestFit="1" customWidth="1"/>
    <col min="5" max="5" width="10.140625" style="4" bestFit="1" customWidth="1"/>
    <col min="6" max="6" width="23.7109375" style="4" bestFit="1" customWidth="1"/>
    <col min="7" max="10" width="5.42578125" style="6" customWidth="1"/>
    <col min="11" max="11" width="10.42578125" style="9" bestFit="1" customWidth="1"/>
    <col min="12" max="16384" width="9.140625" style="2"/>
  </cols>
  <sheetData>
    <row r="1" spans="1:21" s="1" customFormat="1" ht="29.1" customHeight="1" x14ac:dyDescent="0.4">
      <c r="A1" s="41" t="s">
        <v>644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1" customFormat="1" ht="61.5" customHeight="1" thickBot="1" x14ac:dyDescent="0.45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6" customFormat="1" ht="12.75" customHeight="1" x14ac:dyDescent="0.2">
      <c r="A3" s="47" t="s">
        <v>233</v>
      </c>
      <c r="B3" s="33" t="s">
        <v>234</v>
      </c>
      <c r="C3" s="49" t="s">
        <v>235</v>
      </c>
      <c r="D3" s="49" t="s">
        <v>254</v>
      </c>
      <c r="E3" s="51" t="s">
        <v>0</v>
      </c>
      <c r="F3" s="51" t="s">
        <v>236</v>
      </c>
      <c r="G3" s="51" t="s">
        <v>237</v>
      </c>
      <c r="H3" s="51"/>
      <c r="I3" s="51"/>
      <c r="J3" s="51"/>
      <c r="K3" s="38" t="s">
        <v>239</v>
      </c>
    </row>
    <row r="4" spans="1:21" s="6" customFormat="1" ht="21" customHeight="1" thickBot="1" x14ac:dyDescent="0.25">
      <c r="A4" s="48"/>
      <c r="B4" s="34"/>
      <c r="C4" s="50"/>
      <c r="D4" s="50"/>
      <c r="E4" s="50"/>
      <c r="F4" s="50"/>
      <c r="G4" s="28">
        <v>1</v>
      </c>
      <c r="H4" s="28">
        <v>2</v>
      </c>
      <c r="I4" s="28">
        <v>3</v>
      </c>
      <c r="J4" s="28" t="s">
        <v>238</v>
      </c>
      <c r="K4" s="39"/>
    </row>
    <row r="5" spans="1:21" ht="15.75" thickBot="1" x14ac:dyDescent="0.25">
      <c r="A5" s="52" t="s">
        <v>639</v>
      </c>
      <c r="B5" s="53"/>
      <c r="C5" s="53"/>
      <c r="D5" s="53"/>
      <c r="E5" s="53"/>
      <c r="F5" s="53"/>
      <c r="G5" s="53"/>
      <c r="H5" s="53"/>
      <c r="I5" s="53"/>
      <c r="J5" s="53"/>
      <c r="K5" s="54"/>
    </row>
    <row r="6" spans="1:21" ht="15" x14ac:dyDescent="0.2">
      <c r="A6" s="40" t="s">
        <v>241</v>
      </c>
      <c r="B6" s="40"/>
      <c r="C6" s="40"/>
      <c r="D6" s="40"/>
      <c r="E6" s="40"/>
      <c r="F6" s="40"/>
      <c r="G6" s="40"/>
      <c r="H6" s="40"/>
      <c r="I6" s="40"/>
      <c r="J6" s="40"/>
    </row>
    <row r="7" spans="1:21" x14ac:dyDescent="0.2">
      <c r="A7" s="7">
        <v>1</v>
      </c>
      <c r="B7" s="15" t="s">
        <v>595</v>
      </c>
      <c r="C7" s="15" t="s">
        <v>314</v>
      </c>
      <c r="D7" s="15" t="s">
        <v>186</v>
      </c>
      <c r="E7" s="15" t="str">
        <f>"1,3265"</f>
        <v>1,3265</v>
      </c>
      <c r="F7" s="15" t="s">
        <v>423</v>
      </c>
      <c r="G7" s="16" t="s">
        <v>30</v>
      </c>
      <c r="H7" s="17" t="s">
        <v>31</v>
      </c>
      <c r="I7" s="7"/>
      <c r="J7" s="7"/>
      <c r="K7" s="10" t="str">
        <f>"85,0"</f>
        <v>85,0</v>
      </c>
    </row>
    <row r="8" spans="1:21" x14ac:dyDescent="0.2">
      <c r="A8" s="13">
        <v>2</v>
      </c>
      <c r="B8" s="24" t="s">
        <v>494</v>
      </c>
      <c r="C8" s="24" t="s">
        <v>315</v>
      </c>
      <c r="D8" s="24" t="s">
        <v>187</v>
      </c>
      <c r="E8" s="24" t="str">
        <f>"1,3326"</f>
        <v>1,3326</v>
      </c>
      <c r="F8" s="24" t="s">
        <v>464</v>
      </c>
      <c r="G8" s="25" t="s">
        <v>13</v>
      </c>
      <c r="H8" s="25" t="s">
        <v>28</v>
      </c>
      <c r="I8" s="25" t="s">
        <v>14</v>
      </c>
      <c r="J8" s="13"/>
      <c r="K8" s="14" t="str">
        <f>"55,0"</f>
        <v>55,0</v>
      </c>
    </row>
    <row r="9" spans="1:21" x14ac:dyDescent="0.2">
      <c r="A9" s="8">
        <v>3</v>
      </c>
      <c r="B9" s="18" t="s">
        <v>546</v>
      </c>
      <c r="C9" s="18" t="s">
        <v>316</v>
      </c>
      <c r="D9" s="18" t="s">
        <v>187</v>
      </c>
      <c r="E9" s="18" t="str">
        <f>"1,3326"</f>
        <v>1,3326</v>
      </c>
      <c r="F9" s="18" t="s">
        <v>423</v>
      </c>
      <c r="G9" s="19" t="s">
        <v>52</v>
      </c>
      <c r="H9" s="19" t="s">
        <v>28</v>
      </c>
      <c r="I9" s="19" t="s">
        <v>14</v>
      </c>
      <c r="J9" s="8"/>
      <c r="K9" s="11" t="str">
        <f>"55,0"</f>
        <v>55,0</v>
      </c>
    </row>
    <row r="11" spans="1:21" ht="15" x14ac:dyDescent="0.2">
      <c r="A11" s="32" t="s">
        <v>242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21" x14ac:dyDescent="0.2">
      <c r="A12" s="7">
        <v>1</v>
      </c>
      <c r="B12" s="15" t="s">
        <v>596</v>
      </c>
      <c r="C12" s="15" t="s">
        <v>317</v>
      </c>
      <c r="D12" s="15" t="s">
        <v>41</v>
      </c>
      <c r="E12" s="15" t="str">
        <f>"1,2808"</f>
        <v>1,2808</v>
      </c>
      <c r="F12" s="15" t="s">
        <v>423</v>
      </c>
      <c r="G12" s="16" t="s">
        <v>13</v>
      </c>
      <c r="H12" s="16" t="s">
        <v>28</v>
      </c>
      <c r="I12" s="16" t="s">
        <v>14</v>
      </c>
      <c r="J12" s="7"/>
      <c r="K12" s="10" t="str">
        <f>"55,0"</f>
        <v>55,0</v>
      </c>
    </row>
    <row r="13" spans="1:21" x14ac:dyDescent="0.2">
      <c r="A13" s="8">
        <v>2</v>
      </c>
      <c r="B13" s="18" t="s">
        <v>628</v>
      </c>
      <c r="C13" s="18" t="s">
        <v>318</v>
      </c>
      <c r="D13" s="18" t="s">
        <v>10</v>
      </c>
      <c r="E13" s="18" t="str">
        <f>"1,2597"</f>
        <v>1,2597</v>
      </c>
      <c r="F13" s="18" t="s">
        <v>467</v>
      </c>
      <c r="G13" s="19" t="s">
        <v>14</v>
      </c>
      <c r="H13" s="20" t="s">
        <v>15</v>
      </c>
      <c r="I13" s="20" t="s">
        <v>15</v>
      </c>
      <c r="J13" s="8"/>
      <c r="K13" s="11" t="str">
        <f>"55,0"</f>
        <v>55,0</v>
      </c>
    </row>
    <row r="15" spans="1:21" ht="15" x14ac:dyDescent="0.2">
      <c r="A15" s="32" t="s">
        <v>243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21" x14ac:dyDescent="0.2">
      <c r="A16" s="7">
        <v>1</v>
      </c>
      <c r="B16" s="15" t="s">
        <v>629</v>
      </c>
      <c r="C16" s="15" t="s">
        <v>394</v>
      </c>
      <c r="D16" s="15" t="s">
        <v>53</v>
      </c>
      <c r="E16" s="15" t="str">
        <f>"1,1766"</f>
        <v>1,1766</v>
      </c>
      <c r="F16" s="15" t="s">
        <v>423</v>
      </c>
      <c r="G16" s="16" t="s">
        <v>15</v>
      </c>
      <c r="H16" s="17" t="s">
        <v>23</v>
      </c>
      <c r="I16" s="16" t="s">
        <v>23</v>
      </c>
      <c r="J16" s="7"/>
      <c r="K16" s="10" t="str">
        <f>"62,5"</f>
        <v>62,5</v>
      </c>
    </row>
    <row r="17" spans="1:11" x14ac:dyDescent="0.2">
      <c r="A17" s="13">
        <v>1</v>
      </c>
      <c r="B17" s="24" t="s">
        <v>483</v>
      </c>
      <c r="C17" s="24" t="s">
        <v>319</v>
      </c>
      <c r="D17" s="24" t="s">
        <v>188</v>
      </c>
      <c r="E17" s="24" t="str">
        <f>"1,1967"</f>
        <v>1,1967</v>
      </c>
      <c r="F17" s="24" t="s">
        <v>423</v>
      </c>
      <c r="G17" s="25" t="s">
        <v>6</v>
      </c>
      <c r="H17" s="25" t="s">
        <v>52</v>
      </c>
      <c r="I17" s="26" t="s">
        <v>13</v>
      </c>
      <c r="J17" s="13"/>
      <c r="K17" s="14" t="str">
        <f>"47,5"</f>
        <v>47,5</v>
      </c>
    </row>
    <row r="18" spans="1:11" x14ac:dyDescent="0.2">
      <c r="A18" s="8">
        <v>2</v>
      </c>
      <c r="B18" s="18" t="s">
        <v>579</v>
      </c>
      <c r="C18" s="18" t="s">
        <v>320</v>
      </c>
      <c r="D18" s="18" t="s">
        <v>189</v>
      </c>
      <c r="E18" s="18" t="str">
        <f>"1,2106"</f>
        <v>1,2106</v>
      </c>
      <c r="F18" s="18" t="s">
        <v>432</v>
      </c>
      <c r="G18" s="20" t="s">
        <v>39</v>
      </c>
      <c r="H18" s="19" t="s">
        <v>39</v>
      </c>
      <c r="I18" s="20" t="s">
        <v>52</v>
      </c>
      <c r="J18" s="8"/>
      <c r="K18" s="11" t="str">
        <f>"42,5"</f>
        <v>42,5</v>
      </c>
    </row>
    <row r="20" spans="1:11" ht="15" x14ac:dyDescent="0.2">
      <c r="A20" s="32" t="s">
        <v>244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1" x14ac:dyDescent="0.2">
      <c r="A21" s="3">
        <v>1</v>
      </c>
      <c r="B21" s="5" t="s">
        <v>562</v>
      </c>
      <c r="C21" s="5" t="s">
        <v>321</v>
      </c>
      <c r="D21" s="5" t="s">
        <v>190</v>
      </c>
      <c r="E21" s="5" t="str">
        <f>"1,1207"</f>
        <v>1,1207</v>
      </c>
      <c r="F21" s="5" t="s">
        <v>468</v>
      </c>
      <c r="G21" s="21" t="s">
        <v>13</v>
      </c>
      <c r="H21" s="21" t="s">
        <v>28</v>
      </c>
      <c r="I21" s="22" t="s">
        <v>14</v>
      </c>
      <c r="J21" s="3"/>
      <c r="K21" s="12" t="str">
        <f>"52,5"</f>
        <v>52,5</v>
      </c>
    </row>
    <row r="23" spans="1:11" ht="15" x14ac:dyDescent="0.2">
      <c r="A23" s="32" t="s">
        <v>245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1" x14ac:dyDescent="0.2">
      <c r="A24" s="7">
        <v>1</v>
      </c>
      <c r="B24" s="15" t="s">
        <v>630</v>
      </c>
      <c r="C24" s="15" t="s">
        <v>322</v>
      </c>
      <c r="D24" s="15" t="s">
        <v>191</v>
      </c>
      <c r="E24" s="15" t="str">
        <f>"1,0385"</f>
        <v>1,0385</v>
      </c>
      <c r="F24" s="15" t="s">
        <v>455</v>
      </c>
      <c r="G24" s="16" t="s">
        <v>38</v>
      </c>
      <c r="H24" s="17" t="s">
        <v>54</v>
      </c>
      <c r="I24" s="17" t="s">
        <v>54</v>
      </c>
      <c r="J24" s="7"/>
      <c r="K24" s="10" t="str">
        <f>"75,0"</f>
        <v>75,0</v>
      </c>
    </row>
    <row r="25" spans="1:11" x14ac:dyDescent="0.2">
      <c r="A25" s="13">
        <v>2</v>
      </c>
      <c r="B25" s="24" t="s">
        <v>533</v>
      </c>
      <c r="C25" s="24" t="s">
        <v>323</v>
      </c>
      <c r="D25" s="24" t="s">
        <v>192</v>
      </c>
      <c r="E25" s="24" t="str">
        <f>"1,0727"</f>
        <v>1,0727</v>
      </c>
      <c r="F25" s="24" t="s">
        <v>469</v>
      </c>
      <c r="G25" s="25" t="s">
        <v>69</v>
      </c>
      <c r="H25" s="26" t="s">
        <v>45</v>
      </c>
      <c r="I25" s="26" t="s">
        <v>45</v>
      </c>
      <c r="J25" s="13"/>
      <c r="K25" s="14" t="str">
        <f>"67,5"</f>
        <v>67,5</v>
      </c>
    </row>
    <row r="26" spans="1:11" x14ac:dyDescent="0.2">
      <c r="A26" s="8">
        <v>1</v>
      </c>
      <c r="B26" s="18" t="s">
        <v>533</v>
      </c>
      <c r="C26" s="18" t="s">
        <v>371</v>
      </c>
      <c r="D26" s="18" t="s">
        <v>192</v>
      </c>
      <c r="E26" s="18" t="str">
        <f>"1,0727"</f>
        <v>1,0727</v>
      </c>
      <c r="F26" s="18" t="s">
        <v>469</v>
      </c>
      <c r="G26" s="19" t="s">
        <v>69</v>
      </c>
      <c r="H26" s="20" t="s">
        <v>45</v>
      </c>
      <c r="I26" s="20" t="s">
        <v>45</v>
      </c>
      <c r="J26" s="8"/>
      <c r="K26" s="11" t="str">
        <f>"67,5"</f>
        <v>67,5</v>
      </c>
    </row>
    <row r="28" spans="1:11" ht="15" x14ac:dyDescent="0.2">
      <c r="A28" s="32" t="s">
        <v>246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1" x14ac:dyDescent="0.2">
      <c r="A29" s="7">
        <v>1</v>
      </c>
      <c r="B29" s="15" t="s">
        <v>597</v>
      </c>
      <c r="C29" s="15" t="s">
        <v>391</v>
      </c>
      <c r="D29" s="15" t="s">
        <v>193</v>
      </c>
      <c r="E29" s="15" t="str">
        <f>"0,9655"</f>
        <v>0,9655</v>
      </c>
      <c r="F29" s="15" t="s">
        <v>470</v>
      </c>
      <c r="G29" s="17" t="s">
        <v>194</v>
      </c>
      <c r="H29" s="16" t="s">
        <v>194</v>
      </c>
      <c r="I29" s="17" t="s">
        <v>35</v>
      </c>
      <c r="J29" s="7"/>
      <c r="K29" s="10" t="str">
        <f>"30,0"</f>
        <v>30,0</v>
      </c>
    </row>
    <row r="30" spans="1:11" x14ac:dyDescent="0.2">
      <c r="A30" s="13">
        <v>1</v>
      </c>
      <c r="B30" s="24" t="s">
        <v>631</v>
      </c>
      <c r="C30" s="24" t="s">
        <v>324</v>
      </c>
      <c r="D30" s="24" t="s">
        <v>195</v>
      </c>
      <c r="E30" s="24" t="str">
        <f>"0,9998"</f>
        <v>0,9998</v>
      </c>
      <c r="F30" s="24" t="s">
        <v>455</v>
      </c>
      <c r="G30" s="25" t="s">
        <v>14</v>
      </c>
      <c r="H30" s="26" t="s">
        <v>22</v>
      </c>
      <c r="I30" s="26" t="s">
        <v>22</v>
      </c>
      <c r="J30" s="13"/>
      <c r="K30" s="14" t="str">
        <f>"55,0"</f>
        <v>55,0</v>
      </c>
    </row>
    <row r="31" spans="1:11" x14ac:dyDescent="0.2">
      <c r="A31" s="13">
        <v>2</v>
      </c>
      <c r="B31" s="24" t="s">
        <v>606</v>
      </c>
      <c r="C31" s="24" t="s">
        <v>325</v>
      </c>
      <c r="D31" s="24" t="s">
        <v>196</v>
      </c>
      <c r="E31" s="24" t="str">
        <f>"1,0195"</f>
        <v>1,0195</v>
      </c>
      <c r="F31" s="24" t="s">
        <v>435</v>
      </c>
      <c r="G31" s="26" t="s">
        <v>6</v>
      </c>
      <c r="H31" s="25" t="s">
        <v>6</v>
      </c>
      <c r="I31" s="26" t="s">
        <v>52</v>
      </c>
      <c r="J31" s="13"/>
      <c r="K31" s="14" t="str">
        <f>"45,0"</f>
        <v>45,0</v>
      </c>
    </row>
    <row r="32" spans="1:11" x14ac:dyDescent="0.2">
      <c r="A32" s="8">
        <v>1</v>
      </c>
      <c r="B32" s="18" t="s">
        <v>534</v>
      </c>
      <c r="C32" s="18" t="s">
        <v>372</v>
      </c>
      <c r="D32" s="18" t="s">
        <v>77</v>
      </c>
      <c r="E32" s="18" t="str">
        <f>"1,0048"</f>
        <v>1,0048</v>
      </c>
      <c r="F32" s="18" t="s">
        <v>423</v>
      </c>
      <c r="G32" s="19" t="s">
        <v>19</v>
      </c>
      <c r="H32" s="20" t="s">
        <v>11</v>
      </c>
      <c r="I32" s="20" t="s">
        <v>7</v>
      </c>
      <c r="J32" s="8"/>
      <c r="K32" s="11" t="str">
        <f>"110,0"</f>
        <v>110,0</v>
      </c>
    </row>
    <row r="34" spans="1:11" ht="15" x14ac:dyDescent="0.2">
      <c r="A34" s="32" t="s">
        <v>247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1" x14ac:dyDescent="0.2">
      <c r="A35" s="3">
        <v>1</v>
      </c>
      <c r="B35" s="5" t="s">
        <v>632</v>
      </c>
      <c r="C35" s="5" t="s">
        <v>373</v>
      </c>
      <c r="D35" s="5" t="s">
        <v>197</v>
      </c>
      <c r="E35" s="5" t="str">
        <f>"0,9326"</f>
        <v>0,9326</v>
      </c>
      <c r="F35" s="5" t="s">
        <v>468</v>
      </c>
      <c r="G35" s="21" t="s">
        <v>22</v>
      </c>
      <c r="H35" s="21" t="s">
        <v>23</v>
      </c>
      <c r="I35" s="22" t="s">
        <v>24</v>
      </c>
      <c r="J35" s="3"/>
      <c r="K35" s="12" t="str">
        <f>"62,5"</f>
        <v>62,5</v>
      </c>
    </row>
    <row r="36" spans="1:11" ht="13.5" thickBot="1" x14ac:dyDescent="0.25"/>
    <row r="37" spans="1:11" ht="15.75" thickBot="1" x14ac:dyDescent="0.25">
      <c r="A37" s="35" t="s">
        <v>640</v>
      </c>
      <c r="B37" s="36"/>
      <c r="C37" s="36"/>
      <c r="D37" s="36"/>
      <c r="E37" s="36"/>
      <c r="F37" s="36"/>
      <c r="G37" s="36"/>
      <c r="H37" s="36"/>
      <c r="I37" s="36"/>
      <c r="J37" s="36"/>
      <c r="K37" s="37"/>
    </row>
    <row r="38" spans="1:11" ht="15" x14ac:dyDescent="0.2">
      <c r="A38" s="32" t="s">
        <v>242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1" x14ac:dyDescent="0.2">
      <c r="A39" s="3">
        <v>1</v>
      </c>
      <c r="B39" s="5" t="s">
        <v>518</v>
      </c>
      <c r="C39" s="5" t="s">
        <v>404</v>
      </c>
      <c r="D39" s="5" t="s">
        <v>198</v>
      </c>
      <c r="E39" s="5" t="str">
        <f>"1,1911"</f>
        <v>1,1911</v>
      </c>
      <c r="F39" s="5" t="s">
        <v>423</v>
      </c>
      <c r="G39" s="21" t="s">
        <v>5</v>
      </c>
      <c r="H39" s="22" t="s">
        <v>6</v>
      </c>
      <c r="I39" s="21" t="s">
        <v>6</v>
      </c>
      <c r="J39" s="3"/>
      <c r="K39" s="12" t="str">
        <f>"45,0"</f>
        <v>45,0</v>
      </c>
    </row>
    <row r="41" spans="1:11" ht="15" x14ac:dyDescent="0.2">
      <c r="A41" s="32" t="s">
        <v>245</v>
      </c>
      <c r="B41" s="32"/>
      <c r="C41" s="32"/>
      <c r="D41" s="32"/>
      <c r="E41" s="32"/>
      <c r="F41" s="32"/>
      <c r="G41" s="32"/>
      <c r="H41" s="32"/>
      <c r="I41" s="32"/>
      <c r="J41" s="32"/>
    </row>
    <row r="42" spans="1:11" x14ac:dyDescent="0.2">
      <c r="A42" s="7">
        <v>1</v>
      </c>
      <c r="B42" s="15" t="s">
        <v>564</v>
      </c>
      <c r="C42" s="15" t="s">
        <v>284</v>
      </c>
      <c r="D42" s="15" t="s">
        <v>71</v>
      </c>
      <c r="E42" s="15" t="str">
        <f>"0,7710"</f>
        <v>0,7710</v>
      </c>
      <c r="F42" s="15" t="s">
        <v>423</v>
      </c>
      <c r="G42" s="16" t="s">
        <v>57</v>
      </c>
      <c r="H42" s="17" t="s">
        <v>86</v>
      </c>
      <c r="I42" s="17" t="s">
        <v>86</v>
      </c>
      <c r="J42" s="7"/>
      <c r="K42" s="10" t="str">
        <f>"140,0"</f>
        <v>140,0</v>
      </c>
    </row>
    <row r="43" spans="1:11" x14ac:dyDescent="0.2">
      <c r="A43" s="8">
        <v>1</v>
      </c>
      <c r="B43" s="18" t="s">
        <v>633</v>
      </c>
      <c r="C43" s="18" t="s">
        <v>374</v>
      </c>
      <c r="D43" s="18" t="s">
        <v>199</v>
      </c>
      <c r="E43" s="18" t="str">
        <f>"0,7804"</f>
        <v>0,7804</v>
      </c>
      <c r="F43" s="18" t="s">
        <v>423</v>
      </c>
      <c r="G43" s="19" t="s">
        <v>20</v>
      </c>
      <c r="H43" s="19" t="s">
        <v>11</v>
      </c>
      <c r="I43" s="19" t="s">
        <v>7</v>
      </c>
      <c r="J43" s="8"/>
      <c r="K43" s="11" t="str">
        <f>"125,0"</f>
        <v>125,0</v>
      </c>
    </row>
    <row r="45" spans="1:11" ht="15" x14ac:dyDescent="0.2">
      <c r="A45" s="32" t="s">
        <v>246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1" x14ac:dyDescent="0.2">
      <c r="A46" s="7">
        <v>1</v>
      </c>
      <c r="B46" s="15" t="s">
        <v>487</v>
      </c>
      <c r="C46" s="15" t="s">
        <v>405</v>
      </c>
      <c r="D46" s="15" t="s">
        <v>193</v>
      </c>
      <c r="E46" s="15" t="str">
        <f>"0,7249"</f>
        <v>0,7249</v>
      </c>
      <c r="F46" s="15" t="s">
        <v>423</v>
      </c>
      <c r="G46" s="16" t="s">
        <v>30</v>
      </c>
      <c r="H46" s="16" t="s">
        <v>31</v>
      </c>
      <c r="I46" s="17" t="s">
        <v>2</v>
      </c>
      <c r="J46" s="7"/>
      <c r="K46" s="10" t="str">
        <f>"90,0"</f>
        <v>90,0</v>
      </c>
    </row>
    <row r="47" spans="1:11" x14ac:dyDescent="0.2">
      <c r="A47" s="13" t="s">
        <v>58</v>
      </c>
      <c r="B47" s="24" t="s">
        <v>553</v>
      </c>
      <c r="C47" s="24" t="s">
        <v>406</v>
      </c>
      <c r="D47" s="24" t="s">
        <v>200</v>
      </c>
      <c r="E47" s="24" t="str">
        <f>"0,7315"</f>
        <v>0,7315</v>
      </c>
      <c r="F47" s="24" t="s">
        <v>423</v>
      </c>
      <c r="G47" s="26" t="s">
        <v>2</v>
      </c>
      <c r="H47" s="26" t="s">
        <v>2</v>
      </c>
      <c r="I47" s="26" t="s">
        <v>3</v>
      </c>
      <c r="J47" s="13"/>
      <c r="K47" s="14">
        <v>0</v>
      </c>
    </row>
    <row r="48" spans="1:11" x14ac:dyDescent="0.2">
      <c r="A48" s="13">
        <v>1</v>
      </c>
      <c r="B48" s="24" t="s">
        <v>547</v>
      </c>
      <c r="C48" s="24" t="s">
        <v>416</v>
      </c>
      <c r="D48" s="24" t="s">
        <v>102</v>
      </c>
      <c r="E48" s="24" t="str">
        <f>"0,7461"</f>
        <v>0,7461</v>
      </c>
      <c r="F48" s="24" t="s">
        <v>471</v>
      </c>
      <c r="G48" s="25" t="s">
        <v>11</v>
      </c>
      <c r="H48" s="25" t="s">
        <v>7</v>
      </c>
      <c r="I48" s="26" t="s">
        <v>8</v>
      </c>
      <c r="J48" s="13"/>
      <c r="K48" s="14" t="str">
        <f>"125,0"</f>
        <v>125,0</v>
      </c>
    </row>
    <row r="49" spans="1:11" x14ac:dyDescent="0.2">
      <c r="A49" s="13">
        <v>1</v>
      </c>
      <c r="B49" s="24" t="s">
        <v>535</v>
      </c>
      <c r="C49" s="24" t="s">
        <v>326</v>
      </c>
      <c r="D49" s="24" t="s">
        <v>101</v>
      </c>
      <c r="E49" s="24" t="str">
        <f>"0,7406"</f>
        <v>0,7406</v>
      </c>
      <c r="F49" s="24" t="s">
        <v>423</v>
      </c>
      <c r="G49" s="25" t="s">
        <v>114</v>
      </c>
      <c r="H49" s="25" t="s">
        <v>100</v>
      </c>
      <c r="I49" s="26" t="s">
        <v>168</v>
      </c>
      <c r="J49" s="13"/>
      <c r="K49" s="14" t="str">
        <f>"157,5"</f>
        <v>157,5</v>
      </c>
    </row>
    <row r="50" spans="1:11" x14ac:dyDescent="0.2">
      <c r="A50" s="13">
        <v>2</v>
      </c>
      <c r="B50" s="24" t="s">
        <v>634</v>
      </c>
      <c r="C50" s="24" t="s">
        <v>327</v>
      </c>
      <c r="D50" s="24" t="s">
        <v>182</v>
      </c>
      <c r="E50" s="24" t="str">
        <f>"0,7207"</f>
        <v>0,7207</v>
      </c>
      <c r="F50" s="24" t="s">
        <v>423</v>
      </c>
      <c r="G50" s="25" t="s">
        <v>64</v>
      </c>
      <c r="H50" s="25" t="s">
        <v>70</v>
      </c>
      <c r="I50" s="26" t="s">
        <v>16</v>
      </c>
      <c r="J50" s="13"/>
      <c r="K50" s="14" t="str">
        <f>"137,5"</f>
        <v>137,5</v>
      </c>
    </row>
    <row r="51" spans="1:11" x14ac:dyDescent="0.2">
      <c r="A51" s="13">
        <v>3</v>
      </c>
      <c r="B51" s="24" t="s">
        <v>519</v>
      </c>
      <c r="C51" s="24" t="s">
        <v>328</v>
      </c>
      <c r="D51" s="24" t="s">
        <v>201</v>
      </c>
      <c r="E51" s="24" t="str">
        <f>"0,7193"</f>
        <v>0,7193</v>
      </c>
      <c r="F51" s="24" t="s">
        <v>472</v>
      </c>
      <c r="G51" s="26" t="s">
        <v>9</v>
      </c>
      <c r="H51" s="25" t="s">
        <v>9</v>
      </c>
      <c r="I51" s="26" t="s">
        <v>70</v>
      </c>
      <c r="J51" s="13"/>
      <c r="K51" s="14" t="str">
        <f>"135,0"</f>
        <v>135,0</v>
      </c>
    </row>
    <row r="52" spans="1:11" x14ac:dyDescent="0.2">
      <c r="A52" s="8">
        <v>1</v>
      </c>
      <c r="B52" s="18" t="s">
        <v>548</v>
      </c>
      <c r="C52" s="18" t="s">
        <v>375</v>
      </c>
      <c r="D52" s="18" t="s">
        <v>202</v>
      </c>
      <c r="E52" s="18" t="str">
        <f>"0,7519"</f>
        <v>0,7519</v>
      </c>
      <c r="F52" s="18" t="s">
        <v>473</v>
      </c>
      <c r="G52" s="20" t="s">
        <v>54</v>
      </c>
      <c r="H52" s="19" t="s">
        <v>54</v>
      </c>
      <c r="I52" s="20" t="s">
        <v>30</v>
      </c>
      <c r="J52" s="8"/>
      <c r="K52" s="11" t="str">
        <f>"80,0"</f>
        <v>80,0</v>
      </c>
    </row>
    <row r="54" spans="1:11" ht="15" x14ac:dyDescent="0.2">
      <c r="A54" s="32" t="s">
        <v>247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1" x14ac:dyDescent="0.2">
      <c r="A55" s="7">
        <v>1</v>
      </c>
      <c r="B55" s="15" t="s">
        <v>574</v>
      </c>
      <c r="C55" s="15" t="s">
        <v>417</v>
      </c>
      <c r="D55" s="15" t="s">
        <v>119</v>
      </c>
      <c r="E55" s="15" t="str">
        <f>"0,6699"</f>
        <v>0,6699</v>
      </c>
      <c r="F55" s="15" t="s">
        <v>423</v>
      </c>
      <c r="G55" s="16" t="s">
        <v>12</v>
      </c>
      <c r="H55" s="16" t="s">
        <v>86</v>
      </c>
      <c r="I55" s="17" t="s">
        <v>17</v>
      </c>
      <c r="J55" s="7"/>
      <c r="K55" s="10" t="str">
        <f>"145,0"</f>
        <v>145,0</v>
      </c>
    </row>
    <row r="56" spans="1:11" x14ac:dyDescent="0.2">
      <c r="A56" s="13" t="s">
        <v>58</v>
      </c>
      <c r="B56" s="24" t="s">
        <v>520</v>
      </c>
      <c r="C56" s="24" t="s">
        <v>418</v>
      </c>
      <c r="D56" s="24" t="s">
        <v>132</v>
      </c>
      <c r="E56" s="24" t="str">
        <f>"0,6800"</f>
        <v>0,6800</v>
      </c>
      <c r="F56" s="24" t="s">
        <v>423</v>
      </c>
      <c r="G56" s="26" t="s">
        <v>12</v>
      </c>
      <c r="H56" s="26" t="s">
        <v>70</v>
      </c>
      <c r="I56" s="26" t="s">
        <v>70</v>
      </c>
      <c r="J56" s="13"/>
      <c r="K56" s="14">
        <v>0</v>
      </c>
    </row>
    <row r="57" spans="1:11" x14ac:dyDescent="0.2">
      <c r="A57" s="13">
        <v>1</v>
      </c>
      <c r="B57" s="24" t="s">
        <v>607</v>
      </c>
      <c r="C57" s="24" t="s">
        <v>329</v>
      </c>
      <c r="D57" s="24" t="s">
        <v>203</v>
      </c>
      <c r="E57" s="24" t="str">
        <f>"0,6822"</f>
        <v>0,6822</v>
      </c>
      <c r="F57" s="24" t="s">
        <v>465</v>
      </c>
      <c r="G57" s="25" t="s">
        <v>17</v>
      </c>
      <c r="H57" s="25" t="s">
        <v>100</v>
      </c>
      <c r="I57" s="25" t="s">
        <v>168</v>
      </c>
      <c r="J57" s="13"/>
      <c r="K57" s="14" t="str">
        <f>"162,5"</f>
        <v>162,5</v>
      </c>
    </row>
    <row r="58" spans="1:11" x14ac:dyDescent="0.2">
      <c r="A58" s="13">
        <v>2</v>
      </c>
      <c r="B58" s="24" t="s">
        <v>574</v>
      </c>
      <c r="C58" s="24" t="s">
        <v>330</v>
      </c>
      <c r="D58" s="24" t="s">
        <v>119</v>
      </c>
      <c r="E58" s="24" t="str">
        <f>"0,6699"</f>
        <v>0,6699</v>
      </c>
      <c r="F58" s="24" t="s">
        <v>423</v>
      </c>
      <c r="G58" s="25" t="s">
        <v>12</v>
      </c>
      <c r="H58" s="25" t="s">
        <v>86</v>
      </c>
      <c r="I58" s="26" t="s">
        <v>17</v>
      </c>
      <c r="J58" s="13"/>
      <c r="K58" s="14" t="str">
        <f>"145,0"</f>
        <v>145,0</v>
      </c>
    </row>
    <row r="59" spans="1:11" x14ac:dyDescent="0.2">
      <c r="A59" s="13">
        <v>3</v>
      </c>
      <c r="B59" s="24" t="s">
        <v>575</v>
      </c>
      <c r="C59" s="24" t="s">
        <v>331</v>
      </c>
      <c r="D59" s="24" t="s">
        <v>204</v>
      </c>
      <c r="E59" s="24" t="str">
        <f>"0,6860"</f>
        <v>0,6860</v>
      </c>
      <c r="F59" s="24" t="s">
        <v>457</v>
      </c>
      <c r="G59" s="25" t="s">
        <v>57</v>
      </c>
      <c r="H59" s="26" t="s">
        <v>86</v>
      </c>
      <c r="I59" s="26" t="s">
        <v>86</v>
      </c>
      <c r="J59" s="13"/>
      <c r="K59" s="14" t="str">
        <f>"140,0"</f>
        <v>140,0</v>
      </c>
    </row>
    <row r="60" spans="1:11" x14ac:dyDescent="0.2">
      <c r="A60" s="13">
        <v>4</v>
      </c>
      <c r="B60" s="24" t="s">
        <v>635</v>
      </c>
      <c r="C60" s="24" t="s">
        <v>332</v>
      </c>
      <c r="D60" s="24" t="s">
        <v>119</v>
      </c>
      <c r="E60" s="24" t="str">
        <f>"0,6699"</f>
        <v>0,6699</v>
      </c>
      <c r="F60" s="24" t="s">
        <v>445</v>
      </c>
      <c r="G60" s="26" t="s">
        <v>70</v>
      </c>
      <c r="H60" s="25" t="s">
        <v>57</v>
      </c>
      <c r="I60" s="26" t="s">
        <v>16</v>
      </c>
      <c r="J60" s="13"/>
      <c r="K60" s="14" t="str">
        <f>"140,0"</f>
        <v>140,0</v>
      </c>
    </row>
    <row r="61" spans="1:11" x14ac:dyDescent="0.2">
      <c r="A61" s="13">
        <v>5</v>
      </c>
      <c r="B61" s="24" t="s">
        <v>608</v>
      </c>
      <c r="C61" s="24" t="s">
        <v>333</v>
      </c>
      <c r="D61" s="24" t="s">
        <v>205</v>
      </c>
      <c r="E61" s="24" t="str">
        <f>"0,6769"</f>
        <v>0,6769</v>
      </c>
      <c r="F61" s="24" t="s">
        <v>456</v>
      </c>
      <c r="G61" s="25" t="s">
        <v>11</v>
      </c>
      <c r="H61" s="25" t="s">
        <v>12</v>
      </c>
      <c r="I61" s="25" t="s">
        <v>8</v>
      </c>
      <c r="J61" s="13"/>
      <c r="K61" s="14" t="str">
        <f>"130,0"</f>
        <v>130,0</v>
      </c>
    </row>
    <row r="62" spans="1:11" x14ac:dyDescent="0.2">
      <c r="A62" s="13">
        <v>6</v>
      </c>
      <c r="B62" s="24" t="s">
        <v>549</v>
      </c>
      <c r="C62" s="24" t="s">
        <v>334</v>
      </c>
      <c r="D62" s="24" t="s">
        <v>206</v>
      </c>
      <c r="E62" s="24" t="str">
        <f>"0,6774"</f>
        <v>0,6774</v>
      </c>
      <c r="F62" s="24" t="s">
        <v>423</v>
      </c>
      <c r="G62" s="25" t="s">
        <v>12</v>
      </c>
      <c r="H62" s="26" t="s">
        <v>64</v>
      </c>
      <c r="I62" s="26" t="s">
        <v>64</v>
      </c>
      <c r="J62" s="13"/>
      <c r="K62" s="14" t="str">
        <f>"127,5"</f>
        <v>127,5</v>
      </c>
    </row>
    <row r="63" spans="1:11" x14ac:dyDescent="0.2">
      <c r="A63" s="13" t="s">
        <v>58</v>
      </c>
      <c r="B63" s="24" t="s">
        <v>609</v>
      </c>
      <c r="C63" s="24" t="s">
        <v>313</v>
      </c>
      <c r="D63" s="24" t="s">
        <v>207</v>
      </c>
      <c r="E63" s="24" t="str">
        <f>"0,6779"</f>
        <v>0,6779</v>
      </c>
      <c r="F63" s="24" t="s">
        <v>423</v>
      </c>
      <c r="G63" s="26" t="s">
        <v>86</v>
      </c>
      <c r="H63" s="26" t="s">
        <v>86</v>
      </c>
      <c r="I63" s="26" t="s">
        <v>86</v>
      </c>
      <c r="J63" s="13"/>
      <c r="K63" s="14">
        <v>0</v>
      </c>
    </row>
    <row r="64" spans="1:11" x14ac:dyDescent="0.2">
      <c r="A64" s="13">
        <v>1</v>
      </c>
      <c r="B64" s="24" t="s">
        <v>598</v>
      </c>
      <c r="C64" s="24" t="s">
        <v>376</v>
      </c>
      <c r="D64" s="24" t="s">
        <v>205</v>
      </c>
      <c r="E64" s="24" t="str">
        <f>"0,6769"</f>
        <v>0,6769</v>
      </c>
      <c r="F64" s="24" t="s">
        <v>423</v>
      </c>
      <c r="G64" s="26" t="s">
        <v>8</v>
      </c>
      <c r="H64" s="25" t="s">
        <v>57</v>
      </c>
      <c r="I64" s="26" t="s">
        <v>86</v>
      </c>
      <c r="J64" s="13"/>
      <c r="K64" s="14" t="str">
        <f>"140,0"</f>
        <v>140,0</v>
      </c>
    </row>
    <row r="65" spans="1:11" x14ac:dyDescent="0.2">
      <c r="A65" s="8">
        <v>1</v>
      </c>
      <c r="B65" s="18" t="s">
        <v>495</v>
      </c>
      <c r="C65" s="18" t="s">
        <v>377</v>
      </c>
      <c r="D65" s="18" t="s">
        <v>208</v>
      </c>
      <c r="E65" s="18" t="str">
        <f>"0,6876"</f>
        <v>0,6876</v>
      </c>
      <c r="F65" s="18" t="s">
        <v>461</v>
      </c>
      <c r="G65" s="19" t="s">
        <v>19</v>
      </c>
      <c r="H65" s="20" t="s">
        <v>43</v>
      </c>
      <c r="I65" s="19" t="s">
        <v>43</v>
      </c>
      <c r="J65" s="8"/>
      <c r="K65" s="11" t="str">
        <f>"117,5"</f>
        <v>117,5</v>
      </c>
    </row>
    <row r="67" spans="1:11" ht="15" x14ac:dyDescent="0.2">
      <c r="A67" s="32" t="s">
        <v>248</v>
      </c>
      <c r="B67" s="32"/>
      <c r="C67" s="32"/>
      <c r="D67" s="32"/>
      <c r="E67" s="32"/>
      <c r="F67" s="32"/>
      <c r="G67" s="32"/>
      <c r="H67" s="32"/>
      <c r="I67" s="32"/>
      <c r="J67" s="32"/>
    </row>
    <row r="68" spans="1:11" x14ac:dyDescent="0.2">
      <c r="A68" s="7">
        <v>1</v>
      </c>
      <c r="B68" s="15" t="s">
        <v>521</v>
      </c>
      <c r="C68" s="15" t="s">
        <v>407</v>
      </c>
      <c r="D68" s="15" t="s">
        <v>209</v>
      </c>
      <c r="E68" s="15" t="str">
        <f>"0,6661"</f>
        <v>0,6661</v>
      </c>
      <c r="F68" s="15" t="s">
        <v>423</v>
      </c>
      <c r="G68" s="16" t="s">
        <v>2</v>
      </c>
      <c r="H68" s="16" t="s">
        <v>3</v>
      </c>
      <c r="I68" s="17" t="s">
        <v>4</v>
      </c>
      <c r="J68" s="7"/>
      <c r="K68" s="10" t="str">
        <f>"100,0"</f>
        <v>100,0</v>
      </c>
    </row>
    <row r="69" spans="1:11" x14ac:dyDescent="0.2">
      <c r="A69" s="13">
        <v>1</v>
      </c>
      <c r="B69" s="24" t="s">
        <v>636</v>
      </c>
      <c r="C69" s="24" t="s">
        <v>335</v>
      </c>
      <c r="D69" s="24" t="s">
        <v>210</v>
      </c>
      <c r="E69" s="24" t="str">
        <f>"0,6647"</f>
        <v>0,6647</v>
      </c>
      <c r="F69" s="24" t="s">
        <v>455</v>
      </c>
      <c r="G69" s="25" t="s">
        <v>108</v>
      </c>
      <c r="H69" s="25" t="s">
        <v>109</v>
      </c>
      <c r="I69" s="26" t="s">
        <v>97</v>
      </c>
      <c r="J69" s="13"/>
      <c r="K69" s="14" t="str">
        <f>"192,5"</f>
        <v>192,5</v>
      </c>
    </row>
    <row r="70" spans="1:11" x14ac:dyDescent="0.2">
      <c r="A70" s="13">
        <v>2</v>
      </c>
      <c r="B70" s="24" t="s">
        <v>496</v>
      </c>
      <c r="C70" s="24" t="s">
        <v>336</v>
      </c>
      <c r="D70" s="24" t="s">
        <v>211</v>
      </c>
      <c r="E70" s="24" t="str">
        <f>"0,6451"</f>
        <v>0,6451</v>
      </c>
      <c r="F70" s="24" t="s">
        <v>423</v>
      </c>
      <c r="G70" s="25" t="s">
        <v>100</v>
      </c>
      <c r="H70" s="26" t="s">
        <v>168</v>
      </c>
      <c r="I70" s="13"/>
      <c r="J70" s="13"/>
      <c r="K70" s="14" t="str">
        <f>"157,5"</f>
        <v>157,5</v>
      </c>
    </row>
    <row r="71" spans="1:11" x14ac:dyDescent="0.2">
      <c r="A71" s="13">
        <v>3</v>
      </c>
      <c r="B71" s="24" t="s">
        <v>522</v>
      </c>
      <c r="C71" s="24" t="s">
        <v>337</v>
      </c>
      <c r="D71" s="24" t="s">
        <v>134</v>
      </c>
      <c r="E71" s="24" t="str">
        <f>"0,6410"</f>
        <v>0,6410</v>
      </c>
      <c r="F71" s="24" t="s">
        <v>423</v>
      </c>
      <c r="G71" s="25" t="s">
        <v>114</v>
      </c>
      <c r="H71" s="25" t="s">
        <v>99</v>
      </c>
      <c r="I71" s="25" t="s">
        <v>100</v>
      </c>
      <c r="J71" s="13"/>
      <c r="K71" s="14" t="str">
        <f>"157,5"</f>
        <v>157,5</v>
      </c>
    </row>
    <row r="72" spans="1:11" x14ac:dyDescent="0.2">
      <c r="A72" s="13">
        <v>4</v>
      </c>
      <c r="B72" s="24" t="s">
        <v>577</v>
      </c>
      <c r="C72" s="24" t="s">
        <v>338</v>
      </c>
      <c r="D72" s="24" t="s">
        <v>134</v>
      </c>
      <c r="E72" s="24" t="str">
        <f>"0,6410"</f>
        <v>0,6410</v>
      </c>
      <c r="F72" s="24" t="s">
        <v>423</v>
      </c>
      <c r="G72" s="26" t="s">
        <v>16</v>
      </c>
      <c r="H72" s="25" t="s">
        <v>16</v>
      </c>
      <c r="I72" s="26" t="s">
        <v>114</v>
      </c>
      <c r="J72" s="13"/>
      <c r="K72" s="14" t="str">
        <f>"142,5"</f>
        <v>142,5</v>
      </c>
    </row>
    <row r="73" spans="1:11" x14ac:dyDescent="0.2">
      <c r="A73" s="13">
        <v>5</v>
      </c>
      <c r="B73" s="24" t="s">
        <v>599</v>
      </c>
      <c r="C73" s="24" t="s">
        <v>339</v>
      </c>
      <c r="D73" s="24" t="s">
        <v>184</v>
      </c>
      <c r="E73" s="24" t="str">
        <f>"0,6459"</f>
        <v>0,6459</v>
      </c>
      <c r="F73" s="24" t="s">
        <v>456</v>
      </c>
      <c r="G73" s="25" t="s">
        <v>64</v>
      </c>
      <c r="H73" s="25" t="s">
        <v>57</v>
      </c>
      <c r="I73" s="26" t="s">
        <v>16</v>
      </c>
      <c r="J73" s="13"/>
      <c r="K73" s="14" t="str">
        <f>"140,0"</f>
        <v>140,0</v>
      </c>
    </row>
    <row r="74" spans="1:11" x14ac:dyDescent="0.2">
      <c r="A74" s="13">
        <v>6</v>
      </c>
      <c r="B74" s="24" t="s">
        <v>637</v>
      </c>
      <c r="C74" s="24" t="s">
        <v>340</v>
      </c>
      <c r="D74" s="24" t="s">
        <v>212</v>
      </c>
      <c r="E74" s="24" t="str">
        <f>"0,6515"</f>
        <v>0,6515</v>
      </c>
      <c r="F74" s="24" t="s">
        <v>463</v>
      </c>
      <c r="G74" s="26" t="s">
        <v>9</v>
      </c>
      <c r="H74" s="25" t="s">
        <v>9</v>
      </c>
      <c r="I74" s="26" t="s">
        <v>16</v>
      </c>
      <c r="J74" s="13"/>
      <c r="K74" s="14" t="str">
        <f>"135,0"</f>
        <v>135,0</v>
      </c>
    </row>
    <row r="75" spans="1:11" x14ac:dyDescent="0.2">
      <c r="A75" s="13" t="s">
        <v>58</v>
      </c>
      <c r="B75" s="24" t="s">
        <v>560</v>
      </c>
      <c r="C75" s="24" t="s">
        <v>341</v>
      </c>
      <c r="D75" s="24" t="s">
        <v>213</v>
      </c>
      <c r="E75" s="24" t="str">
        <f>"0,6579"</f>
        <v>0,6579</v>
      </c>
      <c r="F75" s="24" t="s">
        <v>474</v>
      </c>
      <c r="G75" s="26" t="s">
        <v>4</v>
      </c>
      <c r="H75" s="26" t="s">
        <v>19</v>
      </c>
      <c r="I75" s="26" t="s">
        <v>19</v>
      </c>
      <c r="J75" s="13"/>
      <c r="K75" s="14">
        <v>0</v>
      </c>
    </row>
    <row r="76" spans="1:11" x14ac:dyDescent="0.2">
      <c r="A76" s="13" t="s">
        <v>58</v>
      </c>
      <c r="B76" s="24" t="s">
        <v>536</v>
      </c>
      <c r="C76" s="24" t="s">
        <v>342</v>
      </c>
      <c r="D76" s="24" t="s">
        <v>163</v>
      </c>
      <c r="E76" s="24" t="str">
        <f>"0,6406"</f>
        <v>0,6406</v>
      </c>
      <c r="F76" s="24" t="s">
        <v>423</v>
      </c>
      <c r="G76" s="26" t="s">
        <v>114</v>
      </c>
      <c r="H76" s="26" t="s">
        <v>94</v>
      </c>
      <c r="I76" s="26" t="s">
        <v>94</v>
      </c>
      <c r="J76" s="13"/>
      <c r="K76" s="14">
        <v>0</v>
      </c>
    </row>
    <row r="77" spans="1:11" x14ac:dyDescent="0.2">
      <c r="A77" s="13">
        <v>1</v>
      </c>
      <c r="B77" s="24" t="s">
        <v>523</v>
      </c>
      <c r="C77" s="24" t="s">
        <v>378</v>
      </c>
      <c r="D77" s="24" t="s">
        <v>175</v>
      </c>
      <c r="E77" s="24" t="str">
        <f>"0,6463"</f>
        <v>0,6463</v>
      </c>
      <c r="F77" s="24" t="s">
        <v>470</v>
      </c>
      <c r="G77" s="25" t="s">
        <v>11</v>
      </c>
      <c r="H77" s="25" t="s">
        <v>64</v>
      </c>
      <c r="I77" s="25" t="s">
        <v>9</v>
      </c>
      <c r="J77" s="13"/>
      <c r="K77" s="14" t="str">
        <f>"135,0"</f>
        <v>135,0</v>
      </c>
    </row>
    <row r="78" spans="1:11" x14ac:dyDescent="0.2">
      <c r="A78" s="13" t="s">
        <v>58</v>
      </c>
      <c r="B78" s="24" t="s">
        <v>497</v>
      </c>
      <c r="C78" s="24" t="s">
        <v>379</v>
      </c>
      <c r="D78" s="24" t="s">
        <v>134</v>
      </c>
      <c r="E78" s="24" t="str">
        <f>"0,6410"</f>
        <v>0,6410</v>
      </c>
      <c r="F78" s="24" t="s">
        <v>423</v>
      </c>
      <c r="G78" s="26" t="s">
        <v>123</v>
      </c>
      <c r="H78" s="26" t="s">
        <v>123</v>
      </c>
      <c r="I78" s="26" t="s">
        <v>123</v>
      </c>
      <c r="J78" s="13"/>
      <c r="K78" s="14">
        <v>0</v>
      </c>
    </row>
    <row r="79" spans="1:11" x14ac:dyDescent="0.2">
      <c r="A79" s="13">
        <v>1</v>
      </c>
      <c r="B79" s="24" t="s">
        <v>537</v>
      </c>
      <c r="C79" s="24" t="s">
        <v>380</v>
      </c>
      <c r="D79" s="24" t="s">
        <v>214</v>
      </c>
      <c r="E79" s="24" t="str">
        <f>"0,6536"</f>
        <v>0,6536</v>
      </c>
      <c r="F79" s="24" t="s">
        <v>423</v>
      </c>
      <c r="G79" s="25" t="s">
        <v>7</v>
      </c>
      <c r="H79" s="25" t="s">
        <v>8</v>
      </c>
      <c r="I79" s="25" t="s">
        <v>9</v>
      </c>
      <c r="J79" s="13"/>
      <c r="K79" s="14" t="str">
        <f>"135,0"</f>
        <v>135,0</v>
      </c>
    </row>
    <row r="80" spans="1:11" x14ac:dyDescent="0.2">
      <c r="A80" s="8">
        <v>1</v>
      </c>
      <c r="B80" s="18" t="s">
        <v>498</v>
      </c>
      <c r="C80" s="18" t="s">
        <v>381</v>
      </c>
      <c r="D80" s="18" t="s">
        <v>215</v>
      </c>
      <c r="E80" s="18" t="str">
        <f>"0,6499"</f>
        <v>0,6499</v>
      </c>
      <c r="F80" s="18" t="s">
        <v>475</v>
      </c>
      <c r="G80" s="19" t="s">
        <v>20</v>
      </c>
      <c r="H80" s="19" t="s">
        <v>11</v>
      </c>
      <c r="I80" s="20" t="s">
        <v>7</v>
      </c>
      <c r="J80" s="8"/>
      <c r="K80" s="11" t="str">
        <f>"120,0"</f>
        <v>120,0</v>
      </c>
    </row>
    <row r="82" spans="1:11" ht="15" x14ac:dyDescent="0.2">
      <c r="A82" s="32" t="s">
        <v>249</v>
      </c>
      <c r="B82" s="32"/>
      <c r="C82" s="32"/>
      <c r="D82" s="32"/>
      <c r="E82" s="32"/>
      <c r="F82" s="32"/>
      <c r="G82" s="32"/>
      <c r="H82" s="32"/>
      <c r="I82" s="32"/>
      <c r="J82" s="32"/>
    </row>
    <row r="83" spans="1:11" x14ac:dyDescent="0.2">
      <c r="A83" s="7">
        <v>1</v>
      </c>
      <c r="B83" s="15" t="s">
        <v>568</v>
      </c>
      <c r="C83" s="15" t="s">
        <v>343</v>
      </c>
      <c r="D83" s="15" t="s">
        <v>216</v>
      </c>
      <c r="E83" s="15" t="str">
        <f>"0,6103"</f>
        <v>0,6103</v>
      </c>
      <c r="F83" s="15" t="s">
        <v>476</v>
      </c>
      <c r="G83" s="16" t="s">
        <v>83</v>
      </c>
      <c r="H83" s="17" t="s">
        <v>84</v>
      </c>
      <c r="I83" s="7"/>
      <c r="J83" s="7"/>
      <c r="K83" s="10" t="str">
        <f>"200,0"</f>
        <v>200,0</v>
      </c>
    </row>
    <row r="84" spans="1:11" x14ac:dyDescent="0.2">
      <c r="A84" s="13">
        <v>2</v>
      </c>
      <c r="B84" s="24" t="s">
        <v>538</v>
      </c>
      <c r="C84" s="24" t="s">
        <v>344</v>
      </c>
      <c r="D84" s="24" t="s">
        <v>217</v>
      </c>
      <c r="E84" s="24" t="str">
        <f>"0,6150"</f>
        <v>0,6150</v>
      </c>
      <c r="F84" s="24" t="s">
        <v>477</v>
      </c>
      <c r="G84" s="25" t="s">
        <v>95</v>
      </c>
      <c r="H84" s="25" t="s">
        <v>129</v>
      </c>
      <c r="I84" s="25" t="s">
        <v>96</v>
      </c>
      <c r="J84" s="13"/>
      <c r="K84" s="14" t="str">
        <f>"180,0"</f>
        <v>180,0</v>
      </c>
    </row>
    <row r="85" spans="1:11" x14ac:dyDescent="0.2">
      <c r="A85" s="13">
        <v>3</v>
      </c>
      <c r="B85" s="24" t="s">
        <v>638</v>
      </c>
      <c r="C85" s="24" t="s">
        <v>345</v>
      </c>
      <c r="D85" s="24" t="s">
        <v>218</v>
      </c>
      <c r="E85" s="24" t="str">
        <f>"0,6172"</f>
        <v>0,6172</v>
      </c>
      <c r="F85" s="24" t="s">
        <v>423</v>
      </c>
      <c r="G85" s="25" t="s">
        <v>99</v>
      </c>
      <c r="H85" s="26" t="s">
        <v>94</v>
      </c>
      <c r="I85" s="25" t="s">
        <v>94</v>
      </c>
      <c r="J85" s="13"/>
      <c r="K85" s="14" t="str">
        <f>"160,0"</f>
        <v>160,0</v>
      </c>
    </row>
    <row r="86" spans="1:11" x14ac:dyDescent="0.2">
      <c r="A86" s="13">
        <v>4</v>
      </c>
      <c r="B86" s="24" t="s">
        <v>600</v>
      </c>
      <c r="C86" s="24" t="s">
        <v>346</v>
      </c>
      <c r="D86" s="24" t="s">
        <v>219</v>
      </c>
      <c r="E86" s="24" t="str">
        <f>"0,6108"</f>
        <v>0,6108</v>
      </c>
      <c r="F86" s="24" t="s">
        <v>435</v>
      </c>
      <c r="G86" s="26" t="s">
        <v>57</v>
      </c>
      <c r="H86" s="25" t="s">
        <v>57</v>
      </c>
      <c r="I86" s="26" t="s">
        <v>86</v>
      </c>
      <c r="J86" s="13"/>
      <c r="K86" s="14" t="str">
        <f>"140,0"</f>
        <v>140,0</v>
      </c>
    </row>
    <row r="87" spans="1:11" x14ac:dyDescent="0.2">
      <c r="A87" s="13">
        <v>5</v>
      </c>
      <c r="B87" s="24" t="s">
        <v>539</v>
      </c>
      <c r="C87" s="24" t="s">
        <v>347</v>
      </c>
      <c r="D87" s="24" t="s">
        <v>220</v>
      </c>
      <c r="E87" s="24" t="str">
        <f>"0,6180"</f>
        <v>0,6180</v>
      </c>
      <c r="F87" s="24" t="s">
        <v>456</v>
      </c>
      <c r="G87" s="25" t="s">
        <v>8</v>
      </c>
      <c r="H87" s="25" t="s">
        <v>70</v>
      </c>
      <c r="I87" s="26" t="s">
        <v>57</v>
      </c>
      <c r="J87" s="13"/>
      <c r="K87" s="14" t="str">
        <f>"137,5"</f>
        <v>137,5</v>
      </c>
    </row>
    <row r="88" spans="1:11" x14ac:dyDescent="0.2">
      <c r="A88" s="13">
        <v>1</v>
      </c>
      <c r="B88" s="24" t="s">
        <v>538</v>
      </c>
      <c r="C88" s="24" t="s">
        <v>382</v>
      </c>
      <c r="D88" s="24" t="s">
        <v>217</v>
      </c>
      <c r="E88" s="24" t="str">
        <f>"0,6150"</f>
        <v>0,6150</v>
      </c>
      <c r="F88" s="24" t="s">
        <v>477</v>
      </c>
      <c r="G88" s="25" t="s">
        <v>95</v>
      </c>
      <c r="H88" s="25" t="s">
        <v>129</v>
      </c>
      <c r="I88" s="25" t="s">
        <v>96</v>
      </c>
      <c r="J88" s="13"/>
      <c r="K88" s="14" t="str">
        <f>"180,0"</f>
        <v>180,0</v>
      </c>
    </row>
    <row r="89" spans="1:11" x14ac:dyDescent="0.2">
      <c r="A89" s="8">
        <v>1</v>
      </c>
      <c r="B89" s="18" t="s">
        <v>524</v>
      </c>
      <c r="C89" s="18" t="s">
        <v>383</v>
      </c>
      <c r="D89" s="18" t="s">
        <v>147</v>
      </c>
      <c r="E89" s="18" t="str">
        <f>"0,6131"</f>
        <v>0,6131</v>
      </c>
      <c r="F89" s="18" t="s">
        <v>468</v>
      </c>
      <c r="G89" s="19" t="s">
        <v>57</v>
      </c>
      <c r="H89" s="19" t="s">
        <v>86</v>
      </c>
      <c r="I89" s="20" t="s">
        <v>17</v>
      </c>
      <c r="J89" s="8"/>
      <c r="K89" s="11" t="str">
        <f>"145,0"</f>
        <v>145,0</v>
      </c>
    </row>
    <row r="91" spans="1:11" ht="15" x14ac:dyDescent="0.2">
      <c r="A91" s="32" t="s">
        <v>250</v>
      </c>
      <c r="B91" s="32"/>
      <c r="C91" s="32"/>
      <c r="D91" s="32"/>
      <c r="E91" s="32"/>
      <c r="F91" s="32"/>
      <c r="G91" s="32"/>
      <c r="H91" s="32"/>
      <c r="I91" s="32"/>
      <c r="J91" s="32"/>
    </row>
    <row r="92" spans="1:11" x14ac:dyDescent="0.2">
      <c r="A92" s="7">
        <v>1</v>
      </c>
      <c r="B92" s="15" t="s">
        <v>499</v>
      </c>
      <c r="C92" s="15" t="s">
        <v>408</v>
      </c>
      <c r="D92" s="15" t="s">
        <v>221</v>
      </c>
      <c r="E92" s="15" t="str">
        <f>"0,5937"</f>
        <v>0,5937</v>
      </c>
      <c r="F92" s="15" t="s">
        <v>478</v>
      </c>
      <c r="G92" s="16" t="s">
        <v>2</v>
      </c>
      <c r="H92" s="16" t="s">
        <v>4</v>
      </c>
      <c r="I92" s="16" t="s">
        <v>25</v>
      </c>
      <c r="J92" s="7"/>
      <c r="K92" s="10" t="str">
        <f>"112,5"</f>
        <v>112,5</v>
      </c>
    </row>
    <row r="93" spans="1:11" x14ac:dyDescent="0.2">
      <c r="A93" s="13">
        <v>1</v>
      </c>
      <c r="B93" s="24" t="s">
        <v>525</v>
      </c>
      <c r="C93" s="24" t="s">
        <v>419</v>
      </c>
      <c r="D93" s="24" t="s">
        <v>171</v>
      </c>
      <c r="E93" s="24" t="str">
        <f>"0,5928"</f>
        <v>0,5928</v>
      </c>
      <c r="F93" s="24" t="s">
        <v>479</v>
      </c>
      <c r="G93" s="25" t="s">
        <v>99</v>
      </c>
      <c r="H93" s="25" t="s">
        <v>46</v>
      </c>
      <c r="I93" s="26" t="s">
        <v>95</v>
      </c>
      <c r="J93" s="13"/>
      <c r="K93" s="14" t="str">
        <f>"165,0"</f>
        <v>165,0</v>
      </c>
    </row>
    <row r="94" spans="1:11" x14ac:dyDescent="0.2">
      <c r="A94" s="13">
        <v>2</v>
      </c>
      <c r="B94" s="24" t="s">
        <v>540</v>
      </c>
      <c r="C94" s="24" t="s">
        <v>420</v>
      </c>
      <c r="D94" s="24" t="s">
        <v>222</v>
      </c>
      <c r="E94" s="24" t="str">
        <f>"0,6039"</f>
        <v>0,6039</v>
      </c>
      <c r="F94" s="24" t="s">
        <v>423</v>
      </c>
      <c r="G94" s="25" t="s">
        <v>86</v>
      </c>
      <c r="H94" s="25" t="s">
        <v>17</v>
      </c>
      <c r="I94" s="25" t="s">
        <v>114</v>
      </c>
      <c r="J94" s="13"/>
      <c r="K94" s="14" t="str">
        <f>"152,5"</f>
        <v>152,5</v>
      </c>
    </row>
    <row r="95" spans="1:11" x14ac:dyDescent="0.2">
      <c r="A95" s="13">
        <v>1</v>
      </c>
      <c r="B95" s="24" t="s">
        <v>550</v>
      </c>
      <c r="C95" s="24" t="s">
        <v>348</v>
      </c>
      <c r="D95" s="24" t="s">
        <v>183</v>
      </c>
      <c r="E95" s="24" t="str">
        <f>"0,5900"</f>
        <v>0,5900</v>
      </c>
      <c r="F95" s="24" t="s">
        <v>469</v>
      </c>
      <c r="G95" s="25" t="s">
        <v>108</v>
      </c>
      <c r="H95" s="25" t="s">
        <v>97</v>
      </c>
      <c r="I95" s="26" t="s">
        <v>87</v>
      </c>
      <c r="J95" s="13"/>
      <c r="K95" s="14" t="str">
        <f>"195,0"</f>
        <v>195,0</v>
      </c>
    </row>
    <row r="96" spans="1:11" x14ac:dyDescent="0.2">
      <c r="A96" s="13">
        <v>2</v>
      </c>
      <c r="B96" s="24" t="s">
        <v>569</v>
      </c>
      <c r="C96" s="24" t="s">
        <v>349</v>
      </c>
      <c r="D96" s="24" t="s">
        <v>223</v>
      </c>
      <c r="E96" s="24" t="str">
        <f>"0,5895"</f>
        <v>0,5895</v>
      </c>
      <c r="F96" s="24" t="s">
        <v>470</v>
      </c>
      <c r="G96" s="25" t="s">
        <v>7</v>
      </c>
      <c r="H96" s="26" t="s">
        <v>70</v>
      </c>
      <c r="I96" s="26" t="s">
        <v>123</v>
      </c>
      <c r="J96" s="13"/>
      <c r="K96" s="14" t="str">
        <f>"125,0"</f>
        <v>125,0</v>
      </c>
    </row>
    <row r="97" spans="1:11" x14ac:dyDescent="0.2">
      <c r="A97" s="13">
        <v>1</v>
      </c>
      <c r="B97" s="24" t="s">
        <v>581</v>
      </c>
      <c r="C97" s="24" t="s">
        <v>384</v>
      </c>
      <c r="D97" s="24" t="s">
        <v>224</v>
      </c>
      <c r="E97" s="24" t="str">
        <f>"0,5892"</f>
        <v>0,5892</v>
      </c>
      <c r="F97" s="24" t="s">
        <v>480</v>
      </c>
      <c r="G97" s="25" t="s">
        <v>17</v>
      </c>
      <c r="H97" s="25" t="s">
        <v>46</v>
      </c>
      <c r="I97" s="25" t="s">
        <v>129</v>
      </c>
      <c r="J97" s="13"/>
      <c r="K97" s="14" t="str">
        <f>"175,0"</f>
        <v>175,0</v>
      </c>
    </row>
    <row r="98" spans="1:11" x14ac:dyDescent="0.2">
      <c r="A98" s="13">
        <v>1</v>
      </c>
      <c r="B98" s="24" t="s">
        <v>500</v>
      </c>
      <c r="C98" s="24" t="s">
        <v>385</v>
      </c>
      <c r="D98" s="24" t="s">
        <v>225</v>
      </c>
      <c r="E98" s="24" t="str">
        <f>"0,5885"</f>
        <v>0,5885</v>
      </c>
      <c r="F98" s="24" t="s">
        <v>468</v>
      </c>
      <c r="G98" s="25" t="s">
        <v>17</v>
      </c>
      <c r="H98" s="26" t="s">
        <v>100</v>
      </c>
      <c r="I98" s="25" t="s">
        <v>100</v>
      </c>
      <c r="J98" s="25" t="s">
        <v>94</v>
      </c>
      <c r="K98" s="14" t="str">
        <f>"157,5"</f>
        <v>157,5</v>
      </c>
    </row>
    <row r="99" spans="1:11" x14ac:dyDescent="0.2">
      <c r="A99" s="8">
        <v>1</v>
      </c>
      <c r="B99" s="18" t="s">
        <v>501</v>
      </c>
      <c r="C99" s="18" t="s">
        <v>386</v>
      </c>
      <c r="D99" s="18" t="s">
        <v>170</v>
      </c>
      <c r="E99" s="18" t="str">
        <f>"0,5910"</f>
        <v>0,5910</v>
      </c>
      <c r="F99" s="18" t="s">
        <v>481</v>
      </c>
      <c r="G99" s="20" t="s">
        <v>7</v>
      </c>
      <c r="H99" s="19" t="s">
        <v>7</v>
      </c>
      <c r="I99" s="19" t="s">
        <v>8</v>
      </c>
      <c r="J99" s="8"/>
      <c r="K99" s="11" t="str">
        <f>"130,0"</f>
        <v>130,0</v>
      </c>
    </row>
    <row r="101" spans="1:11" ht="15" x14ac:dyDescent="0.2">
      <c r="A101" s="32" t="s">
        <v>251</v>
      </c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1" x14ac:dyDescent="0.2">
      <c r="A102" s="7">
        <v>1</v>
      </c>
      <c r="B102" s="15" t="s">
        <v>551</v>
      </c>
      <c r="C102" s="15" t="s">
        <v>350</v>
      </c>
      <c r="D102" s="15" t="s">
        <v>226</v>
      </c>
      <c r="E102" s="15" t="str">
        <f>"0,5833"</f>
        <v>0,5833</v>
      </c>
      <c r="F102" s="15" t="s">
        <v>464</v>
      </c>
      <c r="G102" s="16" t="s">
        <v>167</v>
      </c>
      <c r="H102" s="17" t="s">
        <v>97</v>
      </c>
      <c r="I102" s="17" t="s">
        <v>97</v>
      </c>
      <c r="J102" s="7"/>
      <c r="K102" s="10" t="str">
        <f>"187,5"</f>
        <v>187,5</v>
      </c>
    </row>
    <row r="103" spans="1:11" x14ac:dyDescent="0.2">
      <c r="A103" s="13">
        <v>2</v>
      </c>
      <c r="B103" s="24" t="s">
        <v>578</v>
      </c>
      <c r="C103" s="24" t="s">
        <v>351</v>
      </c>
      <c r="D103" s="24" t="s">
        <v>227</v>
      </c>
      <c r="E103" s="24" t="str">
        <f>"0,5731"</f>
        <v>0,5731</v>
      </c>
      <c r="F103" s="24" t="s">
        <v>423</v>
      </c>
      <c r="G103" s="25" t="s">
        <v>96</v>
      </c>
      <c r="H103" s="25" t="s">
        <v>167</v>
      </c>
      <c r="I103" s="26" t="s">
        <v>109</v>
      </c>
      <c r="J103" s="13"/>
      <c r="K103" s="14" t="str">
        <f>"187,5"</f>
        <v>187,5</v>
      </c>
    </row>
    <row r="104" spans="1:11" x14ac:dyDescent="0.2">
      <c r="A104" s="13">
        <v>3</v>
      </c>
      <c r="B104" s="24" t="s">
        <v>526</v>
      </c>
      <c r="C104" s="24" t="s">
        <v>352</v>
      </c>
      <c r="D104" s="24" t="s">
        <v>228</v>
      </c>
      <c r="E104" s="24" t="str">
        <f>"0,5704"</f>
        <v>0,5704</v>
      </c>
      <c r="F104" s="24" t="s">
        <v>467</v>
      </c>
      <c r="G104" s="25" t="s">
        <v>95</v>
      </c>
      <c r="H104" s="25" t="s">
        <v>96</v>
      </c>
      <c r="I104" s="25" t="s">
        <v>108</v>
      </c>
      <c r="J104" s="13"/>
      <c r="K104" s="14" t="str">
        <f>"185,0"</f>
        <v>185,0</v>
      </c>
    </row>
    <row r="105" spans="1:11" x14ac:dyDescent="0.2">
      <c r="A105" s="8" t="s">
        <v>58</v>
      </c>
      <c r="B105" s="18" t="s">
        <v>502</v>
      </c>
      <c r="C105" s="18" t="s">
        <v>353</v>
      </c>
      <c r="D105" s="18" t="s">
        <v>229</v>
      </c>
      <c r="E105" s="18" t="str">
        <f>"0,5703"</f>
        <v>0,5703</v>
      </c>
      <c r="F105" s="18" t="s">
        <v>423</v>
      </c>
      <c r="G105" s="20" t="s">
        <v>108</v>
      </c>
      <c r="H105" s="20" t="s">
        <v>108</v>
      </c>
      <c r="I105" s="20" t="s">
        <v>108</v>
      </c>
      <c r="J105" s="8"/>
      <c r="K105" s="11">
        <v>0</v>
      </c>
    </row>
    <row r="107" spans="1:11" ht="15" x14ac:dyDescent="0.2">
      <c r="A107" s="32" t="s">
        <v>252</v>
      </c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1" x14ac:dyDescent="0.2">
      <c r="A108" s="7">
        <v>1</v>
      </c>
      <c r="B108" s="15" t="s">
        <v>527</v>
      </c>
      <c r="C108" s="15" t="s">
        <v>409</v>
      </c>
      <c r="D108" s="15" t="s">
        <v>230</v>
      </c>
      <c r="E108" s="15" t="str">
        <f>"0,5651"</f>
        <v>0,5651</v>
      </c>
      <c r="F108" s="15" t="s">
        <v>435</v>
      </c>
      <c r="G108" s="16" t="s">
        <v>24</v>
      </c>
      <c r="H108" s="16" t="s">
        <v>34</v>
      </c>
      <c r="I108" s="16" t="s">
        <v>45</v>
      </c>
      <c r="J108" s="7"/>
      <c r="K108" s="10" t="str">
        <f>"72,5"</f>
        <v>72,5</v>
      </c>
    </row>
    <row r="109" spans="1:11" x14ac:dyDescent="0.2">
      <c r="A109" s="8">
        <v>1</v>
      </c>
      <c r="B109" s="18" t="s">
        <v>552</v>
      </c>
      <c r="C109" s="18" t="s">
        <v>387</v>
      </c>
      <c r="D109" s="18" t="s">
        <v>231</v>
      </c>
      <c r="E109" s="18" t="str">
        <f>"0,5629"</f>
        <v>0,5629</v>
      </c>
      <c r="F109" s="18" t="s">
        <v>423</v>
      </c>
      <c r="G109" s="19" t="s">
        <v>95</v>
      </c>
      <c r="H109" s="19" t="s">
        <v>129</v>
      </c>
      <c r="I109" s="20" t="s">
        <v>96</v>
      </c>
      <c r="J109" s="8"/>
      <c r="K109" s="11" t="str">
        <f>"175,0"</f>
        <v>175,0</v>
      </c>
    </row>
    <row r="111" spans="1:11" ht="15" x14ac:dyDescent="0.2">
      <c r="A111" s="32" t="s">
        <v>253</v>
      </c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1" x14ac:dyDescent="0.2">
      <c r="A112" s="7">
        <v>1</v>
      </c>
      <c r="B112" s="15" t="s">
        <v>554</v>
      </c>
      <c r="C112" s="15" t="s">
        <v>354</v>
      </c>
      <c r="D112" s="15" t="s">
        <v>232</v>
      </c>
      <c r="E112" s="15" t="str">
        <f>"0,5551"</f>
        <v>0,5551</v>
      </c>
      <c r="F112" s="15" t="s">
        <v>461</v>
      </c>
      <c r="G112" s="17" t="s">
        <v>95</v>
      </c>
      <c r="H112" s="16" t="s">
        <v>95</v>
      </c>
      <c r="I112" s="17" t="s">
        <v>129</v>
      </c>
      <c r="J112" s="7"/>
      <c r="K112" s="10" t="str">
        <f>"170,0"</f>
        <v>170,0</v>
      </c>
    </row>
    <row r="113" spans="1:11" x14ac:dyDescent="0.2">
      <c r="A113" s="8">
        <v>1</v>
      </c>
      <c r="B113" s="18" t="s">
        <v>554</v>
      </c>
      <c r="C113" s="18" t="s">
        <v>388</v>
      </c>
      <c r="D113" s="18" t="s">
        <v>232</v>
      </c>
      <c r="E113" s="18" t="str">
        <f>"0,5551"</f>
        <v>0,5551</v>
      </c>
      <c r="F113" s="18" t="s">
        <v>461</v>
      </c>
      <c r="G113" s="20" t="s">
        <v>95</v>
      </c>
      <c r="H113" s="19" t="s">
        <v>95</v>
      </c>
      <c r="I113" s="20" t="s">
        <v>129</v>
      </c>
      <c r="J113" s="8"/>
      <c r="K113" s="11" t="str">
        <f>"170,0"</f>
        <v>170,0</v>
      </c>
    </row>
    <row r="115" spans="1:11" ht="15" x14ac:dyDescent="0.2">
      <c r="F115" s="23"/>
      <c r="G115" s="4"/>
    </row>
    <row r="116" spans="1:11" x14ac:dyDescent="0.2">
      <c r="G116" s="4"/>
    </row>
  </sheetData>
  <mergeCells count="28">
    <mergeCell ref="A37:K37"/>
    <mergeCell ref="A34:J34"/>
    <mergeCell ref="K3:K4"/>
    <mergeCell ref="A6:J6"/>
    <mergeCell ref="A1:K2"/>
    <mergeCell ref="A3:A4"/>
    <mergeCell ref="C3:C4"/>
    <mergeCell ref="D3:D4"/>
    <mergeCell ref="E3:E4"/>
    <mergeCell ref="F3:F4"/>
    <mergeCell ref="G3:J3"/>
    <mergeCell ref="A5:K5"/>
    <mergeCell ref="A91:J91"/>
    <mergeCell ref="A101:J101"/>
    <mergeCell ref="A107:J107"/>
    <mergeCell ref="A111:J111"/>
    <mergeCell ref="B3:B4"/>
    <mergeCell ref="A38:J38"/>
    <mergeCell ref="A41:J41"/>
    <mergeCell ref="A45:J45"/>
    <mergeCell ref="A54:J54"/>
    <mergeCell ref="A67:J67"/>
    <mergeCell ref="A82:J82"/>
    <mergeCell ref="A11:J11"/>
    <mergeCell ref="A15:J15"/>
    <mergeCell ref="A20:J20"/>
    <mergeCell ref="A23:J23"/>
    <mergeCell ref="A28:J2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4"/>
  <dimension ref="A1:S9"/>
  <sheetViews>
    <sheetView workbookViewId="0">
      <selection activeCell="C12" sqref="C12"/>
    </sheetView>
  </sheetViews>
  <sheetFormatPr baseColWidth="10" defaultColWidth="9.140625" defaultRowHeight="12.75" x14ac:dyDescent="0.2"/>
  <cols>
    <col min="1" max="1" width="7.140625" style="4" bestFit="1" customWidth="1"/>
    <col min="2" max="2" width="18.28515625" style="4" bestFit="1" customWidth="1"/>
    <col min="3" max="3" width="28.7109375" style="4" bestFit="1" customWidth="1"/>
    <col min="4" max="4" width="20.85546875" style="4" bestFit="1" customWidth="1"/>
    <col min="5" max="5" width="10.140625" style="4" bestFit="1" customWidth="1"/>
    <col min="6" max="6" width="23.7109375" style="4" customWidth="1"/>
    <col min="7" max="9" width="5.42578125" style="6" customWidth="1"/>
    <col min="10" max="10" width="4.42578125" style="6" customWidth="1"/>
    <col min="11" max="11" width="10.42578125" style="6" bestFit="1" customWidth="1"/>
    <col min="12" max="16384" width="9.140625" style="2"/>
  </cols>
  <sheetData>
    <row r="1" spans="1:19" s="1" customFormat="1" ht="29.1" customHeight="1" x14ac:dyDescent="0.4">
      <c r="A1" s="41" t="s">
        <v>645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27"/>
      <c r="M1" s="27"/>
      <c r="N1" s="27"/>
      <c r="O1" s="27"/>
      <c r="P1" s="27"/>
      <c r="Q1" s="27"/>
      <c r="R1" s="27"/>
      <c r="S1" s="27"/>
    </row>
    <row r="2" spans="1:19" s="1" customFormat="1" ht="62.1" customHeight="1" thickBot="1" x14ac:dyDescent="0.45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27"/>
      <c r="M2" s="27"/>
      <c r="N2" s="27"/>
      <c r="O2" s="27"/>
      <c r="P2" s="27"/>
      <c r="Q2" s="27"/>
      <c r="R2" s="27"/>
      <c r="S2" s="27"/>
    </row>
    <row r="3" spans="1:19" s="6" customFormat="1" ht="12.75" customHeight="1" x14ac:dyDescent="0.2">
      <c r="A3" s="47" t="s">
        <v>233</v>
      </c>
      <c r="B3" s="33" t="s">
        <v>234</v>
      </c>
      <c r="C3" s="49" t="s">
        <v>235</v>
      </c>
      <c r="D3" s="49" t="s">
        <v>254</v>
      </c>
      <c r="E3" s="51" t="s">
        <v>0</v>
      </c>
      <c r="F3" s="51" t="s">
        <v>236</v>
      </c>
      <c r="G3" s="51" t="s">
        <v>237</v>
      </c>
      <c r="H3" s="51"/>
      <c r="I3" s="51"/>
      <c r="J3" s="51"/>
      <c r="K3" s="51" t="s">
        <v>239</v>
      </c>
    </row>
    <row r="4" spans="1:19" s="6" customFormat="1" ht="21" customHeight="1" thickBot="1" x14ac:dyDescent="0.25">
      <c r="A4" s="48"/>
      <c r="B4" s="34"/>
      <c r="C4" s="50"/>
      <c r="D4" s="50"/>
      <c r="E4" s="50"/>
      <c r="F4" s="50"/>
      <c r="G4" s="28">
        <v>1</v>
      </c>
      <c r="H4" s="28">
        <v>2</v>
      </c>
      <c r="I4" s="28">
        <v>3</v>
      </c>
      <c r="J4" s="28" t="s">
        <v>238</v>
      </c>
      <c r="K4" s="50"/>
    </row>
    <row r="5" spans="1:19" ht="15.75" thickBot="1" x14ac:dyDescent="0.25">
      <c r="A5" s="35" t="s">
        <v>640</v>
      </c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9" ht="15" x14ac:dyDescent="0.2">
      <c r="A6" s="55" t="s">
        <v>246</v>
      </c>
      <c r="B6" s="55"/>
      <c r="C6" s="55"/>
      <c r="D6" s="55"/>
      <c r="E6" s="55"/>
      <c r="F6" s="55"/>
      <c r="G6" s="55"/>
      <c r="H6" s="55"/>
      <c r="I6" s="55"/>
      <c r="J6" s="55"/>
    </row>
    <row r="7" spans="1:19" x14ac:dyDescent="0.2">
      <c r="A7" s="3">
        <v>1</v>
      </c>
      <c r="B7" s="5" t="s">
        <v>528</v>
      </c>
      <c r="C7" s="5" t="s">
        <v>389</v>
      </c>
      <c r="D7" s="5" t="s">
        <v>161</v>
      </c>
      <c r="E7" s="5" t="str">
        <f>"0,7139"</f>
        <v>0,7139</v>
      </c>
      <c r="F7" s="5" t="s">
        <v>443</v>
      </c>
      <c r="G7" s="21" t="s">
        <v>94</v>
      </c>
      <c r="H7" s="22" t="s">
        <v>95</v>
      </c>
      <c r="I7" s="22" t="s">
        <v>95</v>
      </c>
      <c r="J7" s="3"/>
      <c r="K7" s="3" t="str">
        <f>"160,0"</f>
        <v>160,0</v>
      </c>
    </row>
    <row r="9" spans="1:19" x14ac:dyDescent="0.2">
      <c r="G9" s="4"/>
    </row>
  </sheetData>
  <mergeCells count="11">
    <mergeCell ref="A6:J6"/>
    <mergeCell ref="B3:B4"/>
    <mergeCell ref="A1:K2"/>
    <mergeCell ref="A3:A4"/>
    <mergeCell ref="C3:C4"/>
    <mergeCell ref="D3:D4"/>
    <mergeCell ref="E3:E4"/>
    <mergeCell ref="F3:F4"/>
    <mergeCell ref="G3:J3"/>
    <mergeCell ref="K3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5AE7B-0ED4-4A89-B99E-57286F43480E}">
  <dimension ref="A1:S51"/>
  <sheetViews>
    <sheetView topLeftCell="F1" workbookViewId="0">
      <selection activeCell="U38" sqref="U38"/>
    </sheetView>
  </sheetViews>
  <sheetFormatPr baseColWidth="10" defaultRowHeight="12.75" x14ac:dyDescent="0.2"/>
  <cols>
    <col min="1" max="1" width="8.5703125" customWidth="1"/>
    <col min="2" max="2" width="20.28515625" customWidth="1"/>
    <col min="3" max="3" width="28.85546875" customWidth="1"/>
    <col min="6" max="6" width="25.140625" customWidth="1"/>
  </cols>
  <sheetData>
    <row r="1" spans="1:19" x14ac:dyDescent="0.2">
      <c r="A1" s="41" t="s">
        <v>646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63.75" customHeight="1" thickBot="1" x14ac:dyDescent="0.25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x14ac:dyDescent="0.2">
      <c r="A3" s="47" t="s">
        <v>233</v>
      </c>
      <c r="B3" s="33" t="s">
        <v>234</v>
      </c>
      <c r="C3" s="49" t="s">
        <v>235</v>
      </c>
      <c r="D3" s="49" t="s">
        <v>254</v>
      </c>
      <c r="E3" s="51" t="s">
        <v>0</v>
      </c>
      <c r="F3" s="51" t="s">
        <v>236</v>
      </c>
      <c r="G3" s="51" t="s">
        <v>421</v>
      </c>
      <c r="H3" s="51"/>
      <c r="I3" s="51"/>
      <c r="J3" s="51"/>
      <c r="K3" s="51" t="s">
        <v>237</v>
      </c>
      <c r="L3" s="51"/>
      <c r="M3" s="51"/>
      <c r="N3" s="51"/>
      <c r="O3" s="51" t="s">
        <v>422</v>
      </c>
      <c r="P3" s="51"/>
      <c r="Q3" s="51"/>
      <c r="R3" s="51"/>
      <c r="S3" s="38" t="s">
        <v>240</v>
      </c>
    </row>
    <row r="4" spans="1:19" ht="13.5" thickBot="1" x14ac:dyDescent="0.25">
      <c r="A4" s="48"/>
      <c r="B4" s="56"/>
      <c r="C4" s="50"/>
      <c r="D4" s="50"/>
      <c r="E4" s="50"/>
      <c r="F4" s="50"/>
      <c r="G4" s="30">
        <v>1</v>
      </c>
      <c r="H4" s="30">
        <v>2</v>
      </c>
      <c r="I4" s="30">
        <v>3</v>
      </c>
      <c r="J4" s="30" t="s">
        <v>238</v>
      </c>
      <c r="K4" s="30">
        <v>1</v>
      </c>
      <c r="L4" s="30">
        <v>2</v>
      </c>
      <c r="M4" s="30">
        <v>3</v>
      </c>
      <c r="N4" s="30" t="s">
        <v>238</v>
      </c>
      <c r="O4" s="30">
        <v>1</v>
      </c>
      <c r="P4" s="30">
        <v>2</v>
      </c>
      <c r="Q4" s="30">
        <v>3</v>
      </c>
      <c r="R4" s="30" t="s">
        <v>238</v>
      </c>
      <c r="S4" s="39"/>
    </row>
    <row r="5" spans="1:19" ht="15.75" thickBot="1" x14ac:dyDescent="0.25">
      <c r="A5" s="52" t="s">
        <v>639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4"/>
    </row>
    <row r="6" spans="1:19" ht="15" x14ac:dyDescent="0.2">
      <c r="A6" s="57" t="s">
        <v>245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9"/>
    </row>
    <row r="7" spans="1:19" x14ac:dyDescent="0.2">
      <c r="A7" s="3">
        <v>1</v>
      </c>
      <c r="B7" s="5" t="s">
        <v>647</v>
      </c>
      <c r="C7" s="5" t="s">
        <v>648</v>
      </c>
      <c r="D7" s="5" t="s">
        <v>159</v>
      </c>
      <c r="E7" s="5" t="str">
        <f>"1,0740"</f>
        <v>1,0740</v>
      </c>
      <c r="F7" s="5" t="s">
        <v>649</v>
      </c>
      <c r="G7" s="21" t="s">
        <v>45</v>
      </c>
      <c r="H7" s="22" t="s">
        <v>38</v>
      </c>
      <c r="I7" s="22" t="s">
        <v>38</v>
      </c>
      <c r="J7" s="3"/>
      <c r="K7" s="21" t="s">
        <v>13</v>
      </c>
      <c r="L7" s="21" t="s">
        <v>28</v>
      </c>
      <c r="M7" s="22" t="s">
        <v>14</v>
      </c>
      <c r="N7" s="3"/>
      <c r="O7" s="21" t="s">
        <v>38</v>
      </c>
      <c r="P7" s="22" t="s">
        <v>54</v>
      </c>
      <c r="Q7" s="21" t="s">
        <v>54</v>
      </c>
      <c r="R7" s="3"/>
      <c r="S7" s="12" t="str">
        <f>"205,0"</f>
        <v>205,0</v>
      </c>
    </row>
    <row r="8" spans="1:19" ht="13.5" thickBot="1" x14ac:dyDescent="0.25">
      <c r="A8" s="4"/>
      <c r="B8" s="4"/>
      <c r="C8" s="4"/>
      <c r="D8" s="4"/>
      <c r="E8" s="4"/>
      <c r="F8" s="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9"/>
    </row>
    <row r="9" spans="1:19" ht="15.75" thickBot="1" x14ac:dyDescent="0.25">
      <c r="A9" s="35" t="s">
        <v>640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</row>
    <row r="10" spans="1:19" ht="15" x14ac:dyDescent="0.2">
      <c r="A10" s="32" t="s">
        <v>242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9"/>
    </row>
    <row r="11" spans="1:19" x14ac:dyDescent="0.2">
      <c r="A11" s="3">
        <v>1</v>
      </c>
      <c r="B11" s="5" t="s">
        <v>650</v>
      </c>
      <c r="C11" s="5" t="s">
        <v>651</v>
      </c>
      <c r="D11" s="5" t="s">
        <v>652</v>
      </c>
      <c r="E11" s="5" t="str">
        <f>"1,0122"</f>
        <v>1,0122</v>
      </c>
      <c r="F11" s="5" t="s">
        <v>653</v>
      </c>
      <c r="G11" s="21" t="s">
        <v>3</v>
      </c>
      <c r="H11" s="21" t="s">
        <v>25</v>
      </c>
      <c r="I11" s="22" t="s">
        <v>43</v>
      </c>
      <c r="J11" s="3"/>
      <c r="K11" s="21" t="s">
        <v>34</v>
      </c>
      <c r="L11" s="21" t="s">
        <v>54</v>
      </c>
      <c r="M11" s="22" t="s">
        <v>62</v>
      </c>
      <c r="N11" s="3"/>
      <c r="O11" s="21" t="s">
        <v>8</v>
      </c>
      <c r="P11" s="21" t="s">
        <v>16</v>
      </c>
      <c r="Q11" s="22" t="s">
        <v>123</v>
      </c>
      <c r="R11" s="3"/>
      <c r="S11" s="12" t="str">
        <f>"335,0"</f>
        <v>335,0</v>
      </c>
    </row>
    <row r="12" spans="1:19" x14ac:dyDescent="0.2">
      <c r="A12" s="4"/>
      <c r="B12" s="4"/>
      <c r="C12" s="4"/>
      <c r="D12" s="4"/>
      <c r="E12" s="4"/>
      <c r="F12" s="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9"/>
    </row>
    <row r="13" spans="1:19" ht="15" x14ac:dyDescent="0.2">
      <c r="A13" s="32" t="s">
        <v>246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9"/>
    </row>
    <row r="14" spans="1:19" x14ac:dyDescent="0.2">
      <c r="A14" s="7">
        <v>1</v>
      </c>
      <c r="B14" s="15" t="s">
        <v>654</v>
      </c>
      <c r="C14" s="15" t="s">
        <v>655</v>
      </c>
      <c r="D14" s="15" t="s">
        <v>160</v>
      </c>
      <c r="E14" s="15" t="str">
        <f>"0,7126"</f>
        <v>0,7126</v>
      </c>
      <c r="F14" s="15" t="s">
        <v>456</v>
      </c>
      <c r="G14" s="16" t="s">
        <v>83</v>
      </c>
      <c r="H14" s="16" t="s">
        <v>84</v>
      </c>
      <c r="I14" s="17" t="s">
        <v>127</v>
      </c>
      <c r="J14" s="7"/>
      <c r="K14" s="16" t="s">
        <v>7</v>
      </c>
      <c r="L14" s="16" t="s">
        <v>12</v>
      </c>
      <c r="M14" s="17" t="s">
        <v>8</v>
      </c>
      <c r="N14" s="7"/>
      <c r="O14" s="17" t="s">
        <v>154</v>
      </c>
      <c r="P14" s="16" t="s">
        <v>154</v>
      </c>
      <c r="Q14" s="17" t="s">
        <v>656</v>
      </c>
      <c r="R14" s="7"/>
      <c r="S14" s="10" t="str">
        <f>"597,5"</f>
        <v>597,5</v>
      </c>
    </row>
    <row r="15" spans="1:19" x14ac:dyDescent="0.2">
      <c r="A15" s="13">
        <v>2</v>
      </c>
      <c r="B15" s="24" t="s">
        <v>657</v>
      </c>
      <c r="C15" s="24" t="s">
        <v>658</v>
      </c>
      <c r="D15" s="24" t="s">
        <v>659</v>
      </c>
      <c r="E15" s="24" t="str">
        <f>"0,7228"</f>
        <v>0,7228</v>
      </c>
      <c r="F15" s="24" t="s">
        <v>660</v>
      </c>
      <c r="G15" s="25" t="s">
        <v>96</v>
      </c>
      <c r="H15" s="26" t="s">
        <v>104</v>
      </c>
      <c r="I15" s="26" t="s">
        <v>104</v>
      </c>
      <c r="J15" s="13"/>
      <c r="K15" s="25" t="s">
        <v>11</v>
      </c>
      <c r="L15" s="25" t="s">
        <v>12</v>
      </c>
      <c r="M15" s="26" t="s">
        <v>8</v>
      </c>
      <c r="N15" s="13"/>
      <c r="O15" s="25" t="s">
        <v>84</v>
      </c>
      <c r="P15" s="25" t="s">
        <v>106</v>
      </c>
      <c r="Q15" s="13"/>
      <c r="R15" s="13"/>
      <c r="S15" s="14" t="str">
        <f>"532,5"</f>
        <v>532,5</v>
      </c>
    </row>
    <row r="16" spans="1:19" x14ac:dyDescent="0.2">
      <c r="A16" s="31">
        <v>1</v>
      </c>
      <c r="B16" s="18" t="s">
        <v>661</v>
      </c>
      <c r="C16" s="18" t="s">
        <v>662</v>
      </c>
      <c r="D16" s="18" t="s">
        <v>161</v>
      </c>
      <c r="E16" s="18" t="str">
        <f>"0,7139"</f>
        <v>0,7139</v>
      </c>
      <c r="F16" s="18" t="s">
        <v>456</v>
      </c>
      <c r="G16" s="19" t="s">
        <v>57</v>
      </c>
      <c r="H16" s="19" t="s">
        <v>17</v>
      </c>
      <c r="I16" s="19" t="s">
        <v>99</v>
      </c>
      <c r="J16" s="31"/>
      <c r="K16" s="19" t="s">
        <v>25</v>
      </c>
      <c r="L16" s="19" t="s">
        <v>43</v>
      </c>
      <c r="M16" s="19" t="s">
        <v>11</v>
      </c>
      <c r="N16" s="31"/>
      <c r="O16" s="19" t="s">
        <v>83</v>
      </c>
      <c r="P16" s="19" t="s">
        <v>84</v>
      </c>
      <c r="Q16" s="19" t="s">
        <v>127</v>
      </c>
      <c r="R16" s="31"/>
      <c r="S16" s="29" t="str">
        <f>"490,0"</f>
        <v>490,0</v>
      </c>
    </row>
    <row r="17" spans="1:19" x14ac:dyDescent="0.2">
      <c r="A17" s="4"/>
      <c r="B17" s="4"/>
      <c r="C17" s="4"/>
      <c r="D17" s="4"/>
      <c r="E17" s="4"/>
      <c r="F17" s="4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9"/>
    </row>
    <row r="18" spans="1:19" ht="15" x14ac:dyDescent="0.2">
      <c r="A18" s="32" t="s">
        <v>247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9"/>
    </row>
    <row r="19" spans="1:19" x14ac:dyDescent="0.2">
      <c r="A19" s="7">
        <v>1</v>
      </c>
      <c r="B19" s="15" t="s">
        <v>663</v>
      </c>
      <c r="C19" s="15" t="s">
        <v>664</v>
      </c>
      <c r="D19" s="15" t="s">
        <v>130</v>
      </c>
      <c r="E19" s="15" t="str">
        <f>"0,6729"</f>
        <v>0,6729</v>
      </c>
      <c r="F19" s="15" t="s">
        <v>435</v>
      </c>
      <c r="G19" s="17" t="s">
        <v>83</v>
      </c>
      <c r="H19" s="16" t="s">
        <v>84</v>
      </c>
      <c r="I19" s="17" t="s">
        <v>110</v>
      </c>
      <c r="J19" s="7"/>
      <c r="K19" s="16" t="s">
        <v>7</v>
      </c>
      <c r="L19" s="16" t="s">
        <v>9</v>
      </c>
      <c r="M19" s="16" t="s">
        <v>57</v>
      </c>
      <c r="N19" s="7"/>
      <c r="O19" s="16" t="s">
        <v>665</v>
      </c>
      <c r="P19" s="16" t="s">
        <v>162</v>
      </c>
      <c r="Q19" s="17" t="s">
        <v>666</v>
      </c>
      <c r="R19" s="7"/>
      <c r="S19" s="10" t="str">
        <f>"650,0"</f>
        <v>650,0</v>
      </c>
    </row>
    <row r="20" spans="1:19" x14ac:dyDescent="0.2">
      <c r="A20" s="31">
        <v>2</v>
      </c>
      <c r="B20" s="18" t="s">
        <v>667</v>
      </c>
      <c r="C20" s="18" t="s">
        <v>668</v>
      </c>
      <c r="D20" s="18" t="s">
        <v>669</v>
      </c>
      <c r="E20" s="18" t="str">
        <f>"0,6744"</f>
        <v>0,6744</v>
      </c>
      <c r="F20" s="18" t="s">
        <v>670</v>
      </c>
      <c r="G20" s="19" t="s">
        <v>17</v>
      </c>
      <c r="H20" s="19" t="s">
        <v>94</v>
      </c>
      <c r="I20" s="19" t="s">
        <v>95</v>
      </c>
      <c r="J20" s="31"/>
      <c r="K20" s="19" t="s">
        <v>17</v>
      </c>
      <c r="L20" s="19" t="s">
        <v>100</v>
      </c>
      <c r="M20" s="20" t="s">
        <v>94</v>
      </c>
      <c r="N20" s="31"/>
      <c r="O20" s="19" t="s">
        <v>95</v>
      </c>
      <c r="P20" s="19" t="s">
        <v>108</v>
      </c>
      <c r="Q20" s="19" t="s">
        <v>83</v>
      </c>
      <c r="R20" s="31"/>
      <c r="S20" s="29" t="str">
        <f>"527,5"</f>
        <v>527,5</v>
      </c>
    </row>
    <row r="21" spans="1:19" x14ac:dyDescent="0.2">
      <c r="A21" s="4"/>
      <c r="B21" s="4"/>
      <c r="C21" s="4"/>
      <c r="D21" s="4"/>
      <c r="E21" s="4"/>
      <c r="F21" s="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9"/>
    </row>
    <row r="22" spans="1:19" ht="15" x14ac:dyDescent="0.2">
      <c r="A22" s="32" t="s">
        <v>248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9"/>
    </row>
    <row r="23" spans="1:19" x14ac:dyDescent="0.2">
      <c r="A23" s="7">
        <v>1</v>
      </c>
      <c r="B23" s="15" t="s">
        <v>671</v>
      </c>
      <c r="C23" s="15" t="s">
        <v>672</v>
      </c>
      <c r="D23" s="15" t="s">
        <v>145</v>
      </c>
      <c r="E23" s="15" t="str">
        <f>"0,6391"</f>
        <v>0,6391</v>
      </c>
      <c r="F23" s="15" t="s">
        <v>423</v>
      </c>
      <c r="G23" s="16" t="s">
        <v>104</v>
      </c>
      <c r="H23" s="16" t="s">
        <v>115</v>
      </c>
      <c r="I23" s="17" t="s">
        <v>127</v>
      </c>
      <c r="J23" s="7"/>
      <c r="K23" s="16" t="s">
        <v>57</v>
      </c>
      <c r="L23" s="17" t="s">
        <v>86</v>
      </c>
      <c r="M23" s="16" t="s">
        <v>86</v>
      </c>
      <c r="N23" s="7"/>
      <c r="O23" s="16" t="s">
        <v>127</v>
      </c>
      <c r="P23" s="16" t="s">
        <v>141</v>
      </c>
      <c r="Q23" s="16" t="s">
        <v>151</v>
      </c>
      <c r="R23" s="7"/>
      <c r="S23" s="10" t="str">
        <f>"590,0"</f>
        <v>590,0</v>
      </c>
    </row>
    <row r="24" spans="1:19" x14ac:dyDescent="0.2">
      <c r="A24" s="13">
        <v>1</v>
      </c>
      <c r="B24" s="24" t="s">
        <v>673</v>
      </c>
      <c r="C24" s="24" t="s">
        <v>674</v>
      </c>
      <c r="D24" s="24" t="s">
        <v>675</v>
      </c>
      <c r="E24" s="24" t="str">
        <f>"0,6384"</f>
        <v>0,6384</v>
      </c>
      <c r="F24" s="24" t="s">
        <v>423</v>
      </c>
      <c r="G24" s="25" t="s">
        <v>141</v>
      </c>
      <c r="H24" s="25" t="s">
        <v>136</v>
      </c>
      <c r="I24" s="25" t="s">
        <v>154</v>
      </c>
      <c r="J24" s="13"/>
      <c r="K24" s="25" t="s">
        <v>94</v>
      </c>
      <c r="L24" s="25" t="s">
        <v>95</v>
      </c>
      <c r="M24" s="26" t="s">
        <v>129</v>
      </c>
      <c r="N24" s="13"/>
      <c r="O24" s="25" t="s">
        <v>665</v>
      </c>
      <c r="P24" s="25" t="s">
        <v>676</v>
      </c>
      <c r="Q24" s="25" t="s">
        <v>666</v>
      </c>
      <c r="R24" s="13"/>
      <c r="S24" s="14" t="str">
        <f>"740,0"</f>
        <v>740,0</v>
      </c>
    </row>
    <row r="25" spans="1:19" x14ac:dyDescent="0.2">
      <c r="A25" s="13">
        <v>2</v>
      </c>
      <c r="B25" s="24" t="s">
        <v>677</v>
      </c>
      <c r="C25" s="24" t="s">
        <v>678</v>
      </c>
      <c r="D25" s="24" t="s">
        <v>163</v>
      </c>
      <c r="E25" s="24" t="str">
        <f>"0,6406"</f>
        <v>0,6406</v>
      </c>
      <c r="F25" s="24" t="s">
        <v>679</v>
      </c>
      <c r="G25" s="25" t="s">
        <v>121</v>
      </c>
      <c r="H25" s="26" t="s">
        <v>137</v>
      </c>
      <c r="I25" s="26" t="s">
        <v>137</v>
      </c>
      <c r="J25" s="13"/>
      <c r="K25" s="25" t="s">
        <v>94</v>
      </c>
      <c r="L25" s="25" t="s">
        <v>680</v>
      </c>
      <c r="M25" s="25" t="s">
        <v>95</v>
      </c>
      <c r="N25" s="13"/>
      <c r="O25" s="25" t="s">
        <v>164</v>
      </c>
      <c r="P25" s="25" t="s">
        <v>666</v>
      </c>
      <c r="Q25" s="26" t="s">
        <v>165</v>
      </c>
      <c r="R25" s="13"/>
      <c r="S25" s="14" t="str">
        <f>"725,0"</f>
        <v>725,0</v>
      </c>
    </row>
    <row r="26" spans="1:19" x14ac:dyDescent="0.2">
      <c r="A26" s="13">
        <v>3</v>
      </c>
      <c r="B26" s="24" t="s">
        <v>681</v>
      </c>
      <c r="C26" s="24" t="s">
        <v>682</v>
      </c>
      <c r="D26" s="24" t="s">
        <v>683</v>
      </c>
      <c r="E26" s="24" t="str">
        <f>"0,6413"</f>
        <v>0,6413</v>
      </c>
      <c r="F26" s="24" t="s">
        <v>423</v>
      </c>
      <c r="G26" s="26" t="s">
        <v>110</v>
      </c>
      <c r="H26" s="25" t="s">
        <v>110</v>
      </c>
      <c r="I26" s="26" t="s">
        <v>120</v>
      </c>
      <c r="J26" s="13"/>
      <c r="K26" s="25" t="s">
        <v>46</v>
      </c>
      <c r="L26" s="25" t="s">
        <v>129</v>
      </c>
      <c r="M26" s="26" t="s">
        <v>166</v>
      </c>
      <c r="N26" s="13"/>
      <c r="O26" s="25" t="s">
        <v>136</v>
      </c>
      <c r="P26" s="26" t="s">
        <v>154</v>
      </c>
      <c r="Q26" s="13"/>
      <c r="R26" s="13"/>
      <c r="S26" s="14" t="str">
        <f>"645,0"</f>
        <v>645,0</v>
      </c>
    </row>
    <row r="27" spans="1:19" x14ac:dyDescent="0.2">
      <c r="A27" s="13">
        <v>4</v>
      </c>
      <c r="B27" s="24" t="s">
        <v>684</v>
      </c>
      <c r="C27" s="24" t="s">
        <v>685</v>
      </c>
      <c r="D27" s="24" t="s">
        <v>686</v>
      </c>
      <c r="E27" s="24" t="str">
        <f>"0,6421"</f>
        <v>0,6421</v>
      </c>
      <c r="F27" s="24" t="s">
        <v>423</v>
      </c>
      <c r="G27" s="25" t="s">
        <v>167</v>
      </c>
      <c r="H27" s="25" t="s">
        <v>97</v>
      </c>
      <c r="I27" s="25" t="s">
        <v>83</v>
      </c>
      <c r="J27" s="13"/>
      <c r="K27" s="26" t="s">
        <v>17</v>
      </c>
      <c r="L27" s="25" t="s">
        <v>100</v>
      </c>
      <c r="M27" s="25" t="s">
        <v>46</v>
      </c>
      <c r="N27" s="13"/>
      <c r="O27" s="25" t="s">
        <v>656</v>
      </c>
      <c r="P27" s="26" t="s">
        <v>162</v>
      </c>
      <c r="Q27" s="26" t="s">
        <v>162</v>
      </c>
      <c r="R27" s="13"/>
      <c r="S27" s="14" t="str">
        <f>"637,5"</f>
        <v>637,5</v>
      </c>
    </row>
    <row r="28" spans="1:19" x14ac:dyDescent="0.2">
      <c r="A28" s="31" t="s">
        <v>58</v>
      </c>
      <c r="B28" s="18" t="s">
        <v>687</v>
      </c>
      <c r="C28" s="18" t="s">
        <v>688</v>
      </c>
      <c r="D28" s="18" t="s">
        <v>143</v>
      </c>
      <c r="E28" s="18" t="str">
        <f>"0,6424"</f>
        <v>0,6424</v>
      </c>
      <c r="F28" s="18" t="s">
        <v>423</v>
      </c>
      <c r="G28" s="20" t="s">
        <v>46</v>
      </c>
      <c r="H28" s="20" t="s">
        <v>46</v>
      </c>
      <c r="I28" s="20" t="s">
        <v>95</v>
      </c>
      <c r="J28" s="31"/>
      <c r="K28" s="20"/>
      <c r="L28" s="31"/>
      <c r="M28" s="31"/>
      <c r="N28" s="31"/>
      <c r="O28" s="20"/>
      <c r="P28" s="31"/>
      <c r="Q28" s="31"/>
      <c r="R28" s="31"/>
      <c r="S28" s="29">
        <v>0</v>
      </c>
    </row>
    <row r="29" spans="1:19" x14ac:dyDescent="0.2">
      <c r="A29" s="4"/>
      <c r="B29" s="4"/>
      <c r="C29" s="4"/>
      <c r="D29" s="4"/>
      <c r="E29" s="4"/>
      <c r="F29" s="4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9"/>
    </row>
    <row r="30" spans="1:19" ht="15" x14ac:dyDescent="0.2">
      <c r="A30" s="32" t="s">
        <v>249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9"/>
    </row>
    <row r="31" spans="1:19" x14ac:dyDescent="0.2">
      <c r="A31" s="7" t="s">
        <v>58</v>
      </c>
      <c r="B31" s="15" t="s">
        <v>689</v>
      </c>
      <c r="C31" s="15" t="s">
        <v>690</v>
      </c>
      <c r="D31" s="15" t="s">
        <v>691</v>
      </c>
      <c r="E31" s="15" t="str">
        <f>"0,6288"</f>
        <v>0,6288</v>
      </c>
      <c r="F31" s="15" t="s">
        <v>692</v>
      </c>
      <c r="G31" s="17" t="s">
        <v>8</v>
      </c>
      <c r="H31" s="17" t="s">
        <v>9</v>
      </c>
      <c r="I31" s="17" t="s">
        <v>57</v>
      </c>
      <c r="J31" s="7"/>
      <c r="K31" s="17"/>
      <c r="L31" s="7"/>
      <c r="M31" s="7"/>
      <c r="N31" s="7"/>
      <c r="O31" s="17"/>
      <c r="P31" s="7"/>
      <c r="Q31" s="7"/>
      <c r="R31" s="7"/>
      <c r="S31" s="10">
        <v>0</v>
      </c>
    </row>
    <row r="32" spans="1:19" x14ac:dyDescent="0.2">
      <c r="A32" s="13">
        <v>1</v>
      </c>
      <c r="B32" s="24" t="s">
        <v>693</v>
      </c>
      <c r="C32" s="24" t="s">
        <v>694</v>
      </c>
      <c r="D32" s="24" t="s">
        <v>695</v>
      </c>
      <c r="E32" s="24" t="str">
        <f>"0,6292"</f>
        <v>0,6292</v>
      </c>
      <c r="F32" s="24" t="s">
        <v>430</v>
      </c>
      <c r="G32" s="25" t="s">
        <v>154</v>
      </c>
      <c r="H32" s="25" t="s">
        <v>155</v>
      </c>
      <c r="I32" s="26" t="s">
        <v>665</v>
      </c>
      <c r="J32" s="13"/>
      <c r="K32" s="26" t="s">
        <v>96</v>
      </c>
      <c r="L32" s="25" t="s">
        <v>96</v>
      </c>
      <c r="M32" s="26" t="s">
        <v>108</v>
      </c>
      <c r="N32" s="13"/>
      <c r="O32" s="25" t="s">
        <v>125</v>
      </c>
      <c r="P32" s="26" t="s">
        <v>665</v>
      </c>
      <c r="Q32" s="25" t="s">
        <v>665</v>
      </c>
      <c r="R32" s="13"/>
      <c r="S32" s="14" t="str">
        <f>"735,0"</f>
        <v>735,0</v>
      </c>
    </row>
    <row r="33" spans="1:19" x14ac:dyDescent="0.2">
      <c r="A33" s="13">
        <v>2</v>
      </c>
      <c r="B33" s="24" t="s">
        <v>696</v>
      </c>
      <c r="C33" s="24" t="s">
        <v>697</v>
      </c>
      <c r="D33" s="24" t="s">
        <v>698</v>
      </c>
      <c r="E33" s="24" t="str">
        <f>"0,6086"</f>
        <v>0,6086</v>
      </c>
      <c r="F33" s="24" t="s">
        <v>423</v>
      </c>
      <c r="G33" s="25" t="s">
        <v>136</v>
      </c>
      <c r="H33" s="26" t="s">
        <v>154</v>
      </c>
      <c r="I33" s="26" t="s">
        <v>154</v>
      </c>
      <c r="J33" s="13"/>
      <c r="K33" s="25" t="s">
        <v>108</v>
      </c>
      <c r="L33" s="25" t="s">
        <v>97</v>
      </c>
      <c r="M33" s="25" t="s">
        <v>83</v>
      </c>
      <c r="N33" s="13"/>
      <c r="O33" s="25" t="s">
        <v>125</v>
      </c>
      <c r="P33" s="26" t="s">
        <v>665</v>
      </c>
      <c r="Q33" s="26" t="s">
        <v>665</v>
      </c>
      <c r="R33" s="13"/>
      <c r="S33" s="14" t="str">
        <f>"720,0"</f>
        <v>720,0</v>
      </c>
    </row>
    <row r="34" spans="1:19" x14ac:dyDescent="0.2">
      <c r="A34" s="13">
        <v>3</v>
      </c>
      <c r="B34" s="24" t="s">
        <v>699</v>
      </c>
      <c r="C34" s="24" t="s">
        <v>700</v>
      </c>
      <c r="D34" s="24" t="s">
        <v>701</v>
      </c>
      <c r="E34" s="24" t="str">
        <f>"0,6206"</f>
        <v>0,6206</v>
      </c>
      <c r="F34" s="24" t="s">
        <v>457</v>
      </c>
      <c r="G34" s="25" t="s">
        <v>131</v>
      </c>
      <c r="H34" s="25" t="s">
        <v>106</v>
      </c>
      <c r="I34" s="25" t="s">
        <v>702</v>
      </c>
      <c r="J34" s="13"/>
      <c r="K34" s="26" t="s">
        <v>99</v>
      </c>
      <c r="L34" s="25" t="s">
        <v>168</v>
      </c>
      <c r="M34" s="26" t="s">
        <v>95</v>
      </c>
      <c r="N34" s="13"/>
      <c r="O34" s="25" t="s">
        <v>142</v>
      </c>
      <c r="P34" s="26" t="s">
        <v>137</v>
      </c>
      <c r="Q34" s="26" t="s">
        <v>137</v>
      </c>
      <c r="R34" s="13"/>
      <c r="S34" s="14" t="str">
        <f>"642,5"</f>
        <v>642,5</v>
      </c>
    </row>
    <row r="35" spans="1:19" x14ac:dyDescent="0.2">
      <c r="A35" s="13">
        <v>4</v>
      </c>
      <c r="B35" s="24" t="s">
        <v>703</v>
      </c>
      <c r="C35" s="24" t="s">
        <v>704</v>
      </c>
      <c r="D35" s="24" t="s">
        <v>705</v>
      </c>
      <c r="E35" s="24" t="str">
        <f>"0,6244"</f>
        <v>0,6244</v>
      </c>
      <c r="F35" s="24" t="s">
        <v>706</v>
      </c>
      <c r="G35" s="25" t="s">
        <v>84</v>
      </c>
      <c r="H35" s="25" t="s">
        <v>110</v>
      </c>
      <c r="I35" s="25" t="s">
        <v>92</v>
      </c>
      <c r="J35" s="13"/>
      <c r="K35" s="25" t="s">
        <v>99</v>
      </c>
      <c r="L35" s="25" t="s">
        <v>94</v>
      </c>
      <c r="M35" s="26" t="s">
        <v>168</v>
      </c>
      <c r="N35" s="13"/>
      <c r="O35" s="25" t="s">
        <v>151</v>
      </c>
      <c r="P35" s="25" t="s">
        <v>136</v>
      </c>
      <c r="Q35" s="13"/>
      <c r="R35" s="13"/>
      <c r="S35" s="14" t="str">
        <f>"637,5"</f>
        <v>637,5</v>
      </c>
    </row>
    <row r="36" spans="1:19" x14ac:dyDescent="0.2">
      <c r="A36" s="13">
        <v>5</v>
      </c>
      <c r="B36" s="24" t="s">
        <v>707</v>
      </c>
      <c r="C36" s="24" t="s">
        <v>708</v>
      </c>
      <c r="D36" s="24" t="s">
        <v>709</v>
      </c>
      <c r="E36" s="24" t="str">
        <f>"0,6257"</f>
        <v>0,6257</v>
      </c>
      <c r="F36" s="24" t="s">
        <v>423</v>
      </c>
      <c r="G36" s="25" t="s">
        <v>94</v>
      </c>
      <c r="H36" s="25" t="s">
        <v>129</v>
      </c>
      <c r="I36" s="25" t="s">
        <v>104</v>
      </c>
      <c r="J36" s="13"/>
      <c r="K36" s="26" t="s">
        <v>8</v>
      </c>
      <c r="L36" s="25" t="s">
        <v>70</v>
      </c>
      <c r="M36" s="25" t="s">
        <v>86</v>
      </c>
      <c r="N36" s="13"/>
      <c r="O36" s="25" t="s">
        <v>94</v>
      </c>
      <c r="P36" s="25" t="s">
        <v>96</v>
      </c>
      <c r="Q36" s="25" t="s">
        <v>83</v>
      </c>
      <c r="R36" s="13"/>
      <c r="S36" s="14" t="str">
        <f>"535,0"</f>
        <v>535,0</v>
      </c>
    </row>
    <row r="37" spans="1:19" x14ac:dyDescent="0.2">
      <c r="A37" s="31">
        <v>1</v>
      </c>
      <c r="B37" s="18" t="s">
        <v>710</v>
      </c>
      <c r="C37" s="18" t="s">
        <v>711</v>
      </c>
      <c r="D37" s="18" t="s">
        <v>712</v>
      </c>
      <c r="E37" s="18" t="str">
        <f>"0,6152"</f>
        <v>0,6152</v>
      </c>
      <c r="F37" s="18" t="s">
        <v>713</v>
      </c>
      <c r="G37" s="19" t="s">
        <v>84</v>
      </c>
      <c r="H37" s="20" t="s">
        <v>106</v>
      </c>
      <c r="I37" s="19" t="s">
        <v>106</v>
      </c>
      <c r="J37" s="31"/>
      <c r="K37" s="19" t="s">
        <v>17</v>
      </c>
      <c r="L37" s="19" t="s">
        <v>94</v>
      </c>
      <c r="M37" s="20" t="s">
        <v>95</v>
      </c>
      <c r="N37" s="31"/>
      <c r="O37" s="20" t="s">
        <v>151</v>
      </c>
      <c r="P37" s="19" t="s">
        <v>151</v>
      </c>
      <c r="Q37" s="20" t="s">
        <v>154</v>
      </c>
      <c r="R37" s="31"/>
      <c r="S37" s="29" t="str">
        <f>"625,0"</f>
        <v>625,0</v>
      </c>
    </row>
    <row r="38" spans="1:19" x14ac:dyDescent="0.2">
      <c r="A38" s="4"/>
      <c r="B38" s="4"/>
      <c r="C38" s="4"/>
      <c r="D38" s="4"/>
      <c r="E38" s="4"/>
      <c r="F38" s="4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9"/>
    </row>
    <row r="39" spans="1:19" ht="15" x14ac:dyDescent="0.2">
      <c r="A39" s="32" t="s">
        <v>250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9"/>
    </row>
    <row r="40" spans="1:19" x14ac:dyDescent="0.2">
      <c r="A40" s="7">
        <v>1</v>
      </c>
      <c r="B40" s="15" t="s">
        <v>714</v>
      </c>
      <c r="C40" s="15" t="s">
        <v>715</v>
      </c>
      <c r="D40" s="15" t="s">
        <v>716</v>
      </c>
      <c r="E40" s="15" t="str">
        <f>"0,5946"</f>
        <v>0,5946</v>
      </c>
      <c r="F40" s="15" t="s">
        <v>430</v>
      </c>
      <c r="G40" s="16" t="s">
        <v>154</v>
      </c>
      <c r="H40" s="16" t="s">
        <v>125</v>
      </c>
      <c r="I40" s="17" t="s">
        <v>169</v>
      </c>
      <c r="J40" s="7"/>
      <c r="K40" s="16" t="s">
        <v>95</v>
      </c>
      <c r="L40" s="17" t="s">
        <v>96</v>
      </c>
      <c r="M40" s="17" t="s">
        <v>108</v>
      </c>
      <c r="N40" s="7"/>
      <c r="O40" s="16" t="s">
        <v>154</v>
      </c>
      <c r="P40" s="17" t="s">
        <v>665</v>
      </c>
      <c r="Q40" s="7"/>
      <c r="R40" s="7"/>
      <c r="S40" s="10" t="str">
        <f>"700,0"</f>
        <v>700,0</v>
      </c>
    </row>
    <row r="41" spans="1:19" x14ac:dyDescent="0.2">
      <c r="A41" s="13">
        <v>2</v>
      </c>
      <c r="B41" s="24" t="s">
        <v>717</v>
      </c>
      <c r="C41" s="24" t="s">
        <v>718</v>
      </c>
      <c r="D41" s="24" t="s">
        <v>170</v>
      </c>
      <c r="E41" s="24" t="str">
        <f>"0,5910"</f>
        <v>0,5910</v>
      </c>
      <c r="F41" s="24" t="s">
        <v>719</v>
      </c>
      <c r="G41" s="26" t="s">
        <v>127</v>
      </c>
      <c r="H41" s="25" t="s">
        <v>106</v>
      </c>
      <c r="I41" s="26" t="s">
        <v>120</v>
      </c>
      <c r="J41" s="13"/>
      <c r="K41" s="26" t="s">
        <v>95</v>
      </c>
      <c r="L41" s="25" t="s">
        <v>95</v>
      </c>
      <c r="M41" s="25" t="s">
        <v>96</v>
      </c>
      <c r="N41" s="13"/>
      <c r="O41" s="25" t="s">
        <v>136</v>
      </c>
      <c r="P41" s="25" t="s">
        <v>124</v>
      </c>
      <c r="Q41" s="26" t="s">
        <v>155</v>
      </c>
      <c r="R41" s="13"/>
      <c r="S41" s="14" t="str">
        <f>"670,0"</f>
        <v>670,0</v>
      </c>
    </row>
    <row r="42" spans="1:19" x14ac:dyDescent="0.2">
      <c r="A42" s="13">
        <v>3</v>
      </c>
      <c r="B42" s="24" t="s">
        <v>720</v>
      </c>
      <c r="C42" s="24" t="s">
        <v>721</v>
      </c>
      <c r="D42" s="24" t="s">
        <v>722</v>
      </c>
      <c r="E42" s="24" t="str">
        <f>"0,6050"</f>
        <v>0,6050</v>
      </c>
      <c r="F42" s="24" t="s">
        <v>423</v>
      </c>
      <c r="G42" s="25" t="s">
        <v>104</v>
      </c>
      <c r="H42" s="25" t="s">
        <v>83</v>
      </c>
      <c r="I42" s="26" t="s">
        <v>115</v>
      </c>
      <c r="J42" s="13"/>
      <c r="K42" s="25" t="s">
        <v>19</v>
      </c>
      <c r="L42" s="25" t="s">
        <v>20</v>
      </c>
      <c r="M42" s="25" t="s">
        <v>11</v>
      </c>
      <c r="N42" s="13"/>
      <c r="O42" s="25" t="s">
        <v>83</v>
      </c>
      <c r="P42" s="25" t="s">
        <v>84</v>
      </c>
      <c r="Q42" s="25" t="s">
        <v>127</v>
      </c>
      <c r="R42" s="13"/>
      <c r="S42" s="14" t="str">
        <f>"535,0"</f>
        <v>535,0</v>
      </c>
    </row>
    <row r="43" spans="1:19" x14ac:dyDescent="0.2">
      <c r="A43" s="31">
        <v>1</v>
      </c>
      <c r="B43" s="18" t="s">
        <v>723</v>
      </c>
      <c r="C43" s="18" t="s">
        <v>724</v>
      </c>
      <c r="D43" s="18" t="s">
        <v>171</v>
      </c>
      <c r="E43" s="18" t="str">
        <f>"0,5928"</f>
        <v>0,5928</v>
      </c>
      <c r="F43" s="18" t="s">
        <v>725</v>
      </c>
      <c r="G43" s="19" t="s">
        <v>83</v>
      </c>
      <c r="H43" s="19" t="s">
        <v>110</v>
      </c>
      <c r="I43" s="19" t="s">
        <v>141</v>
      </c>
      <c r="J43" s="31"/>
      <c r="K43" s="19" t="s">
        <v>11</v>
      </c>
      <c r="L43" s="19" t="s">
        <v>9</v>
      </c>
      <c r="M43" s="19" t="s">
        <v>17</v>
      </c>
      <c r="N43" s="31"/>
      <c r="O43" s="19" t="s">
        <v>110</v>
      </c>
      <c r="P43" s="19" t="s">
        <v>120</v>
      </c>
      <c r="Q43" s="20" t="s">
        <v>121</v>
      </c>
      <c r="R43" s="31"/>
      <c r="S43" s="29" t="str">
        <f>"615,0"</f>
        <v>615,0</v>
      </c>
    </row>
    <row r="44" spans="1:19" x14ac:dyDescent="0.2">
      <c r="A44" s="4"/>
      <c r="B44" s="4"/>
      <c r="C44" s="4"/>
      <c r="D44" s="4"/>
      <c r="E44" s="4"/>
      <c r="F44" s="4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9"/>
    </row>
    <row r="45" spans="1:19" ht="15" x14ac:dyDescent="0.2">
      <c r="A45" s="32" t="s">
        <v>251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9"/>
    </row>
    <row r="46" spans="1:19" x14ac:dyDescent="0.2">
      <c r="A46" s="7">
        <v>1</v>
      </c>
      <c r="B46" s="15" t="s">
        <v>726</v>
      </c>
      <c r="C46" s="15" t="s">
        <v>727</v>
      </c>
      <c r="D46" s="15" t="s">
        <v>728</v>
      </c>
      <c r="E46" s="15" t="str">
        <f>"0,5792"</f>
        <v>0,5792</v>
      </c>
      <c r="F46" s="15" t="s">
        <v>653</v>
      </c>
      <c r="G46" s="16" t="s">
        <v>141</v>
      </c>
      <c r="H46" s="16" t="s">
        <v>151</v>
      </c>
      <c r="I46" s="16" t="s">
        <v>136</v>
      </c>
      <c r="J46" s="7"/>
      <c r="K46" s="16" t="s">
        <v>104</v>
      </c>
      <c r="L46" s="16" t="s">
        <v>97</v>
      </c>
      <c r="M46" s="16" t="s">
        <v>83</v>
      </c>
      <c r="N46" s="7"/>
      <c r="O46" s="16" t="s">
        <v>162</v>
      </c>
      <c r="P46" s="16" t="s">
        <v>729</v>
      </c>
      <c r="Q46" s="17" t="s">
        <v>730</v>
      </c>
      <c r="R46" s="7"/>
      <c r="S46" s="10" t="str">
        <f>"765,0"</f>
        <v>765,0</v>
      </c>
    </row>
    <row r="47" spans="1:19" x14ac:dyDescent="0.2">
      <c r="A47" s="31" t="s">
        <v>58</v>
      </c>
      <c r="B47" s="18" t="s">
        <v>731</v>
      </c>
      <c r="C47" s="18" t="s">
        <v>732</v>
      </c>
      <c r="D47" s="18" t="s">
        <v>733</v>
      </c>
      <c r="E47" s="18" t="str">
        <f>"0,5774"</f>
        <v>0,5774</v>
      </c>
      <c r="F47" s="18" t="s">
        <v>423</v>
      </c>
      <c r="G47" s="20" t="s">
        <v>169</v>
      </c>
      <c r="H47" s="20" t="s">
        <v>734</v>
      </c>
      <c r="I47" s="20" t="s">
        <v>162</v>
      </c>
      <c r="J47" s="31"/>
      <c r="K47" s="20"/>
      <c r="L47" s="31"/>
      <c r="M47" s="31"/>
      <c r="N47" s="31"/>
      <c r="O47" s="20"/>
      <c r="P47" s="31"/>
      <c r="Q47" s="31"/>
      <c r="R47" s="31"/>
      <c r="S47" s="29">
        <v>0</v>
      </c>
    </row>
    <row r="48" spans="1:19" x14ac:dyDescent="0.2">
      <c r="A48" s="4"/>
      <c r="B48" s="4"/>
      <c r="C48" s="4"/>
      <c r="D48" s="4"/>
      <c r="E48" s="4"/>
      <c r="F48" s="4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9"/>
    </row>
    <row r="49" spans="1:19" ht="15" x14ac:dyDescent="0.2">
      <c r="A49" s="32" t="s">
        <v>252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9"/>
    </row>
    <row r="50" spans="1:19" x14ac:dyDescent="0.2">
      <c r="A50" s="3">
        <v>1</v>
      </c>
      <c r="B50" s="5" t="s">
        <v>735</v>
      </c>
      <c r="C50" s="5" t="s">
        <v>736</v>
      </c>
      <c r="D50" s="5" t="s">
        <v>737</v>
      </c>
      <c r="E50" s="5" t="str">
        <f>"0,5658"</f>
        <v>0,5658</v>
      </c>
      <c r="F50" s="5" t="s">
        <v>423</v>
      </c>
      <c r="G50" s="21" t="s">
        <v>155</v>
      </c>
      <c r="H50" s="22" t="s">
        <v>169</v>
      </c>
      <c r="I50" s="22" t="s">
        <v>169</v>
      </c>
      <c r="J50" s="3"/>
      <c r="K50" s="21" t="s">
        <v>129</v>
      </c>
      <c r="L50" s="22" t="s">
        <v>108</v>
      </c>
      <c r="M50" s="3"/>
      <c r="N50" s="3"/>
      <c r="O50" s="21" t="s">
        <v>136</v>
      </c>
      <c r="P50" s="21" t="s">
        <v>125</v>
      </c>
      <c r="Q50" s="22" t="s">
        <v>164</v>
      </c>
      <c r="R50" s="3"/>
      <c r="S50" s="12" t="str">
        <f>"720,0"</f>
        <v>720,0</v>
      </c>
    </row>
    <row r="51" spans="1:19" x14ac:dyDescent="0.2">
      <c r="A51" s="4"/>
      <c r="B51" s="4"/>
      <c r="C51" s="4"/>
      <c r="D51" s="4"/>
      <c r="E51" s="4"/>
      <c r="F51" s="4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9"/>
    </row>
  </sheetData>
  <mergeCells count="22">
    <mergeCell ref="A18:R18"/>
    <mergeCell ref="A22:R22"/>
    <mergeCell ref="A30:R30"/>
    <mergeCell ref="A39:R39"/>
    <mergeCell ref="A45:R45"/>
    <mergeCell ref="A49:R49"/>
    <mergeCell ref="S3:S4"/>
    <mergeCell ref="A5:S5"/>
    <mergeCell ref="A6:R6"/>
    <mergeCell ref="A9:S9"/>
    <mergeCell ref="A10:R10"/>
    <mergeCell ref="A13:R13"/>
    <mergeCell ref="A1:S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B4C39-7601-43C3-B1E9-00E628406CFA}">
  <dimension ref="A1:S29"/>
  <sheetViews>
    <sheetView topLeftCell="C1" workbookViewId="0">
      <selection sqref="A1:S29"/>
    </sheetView>
  </sheetViews>
  <sheetFormatPr baseColWidth="10" defaultRowHeight="12.75" x14ac:dyDescent="0.2"/>
  <cols>
    <col min="2" max="2" width="21.42578125" customWidth="1"/>
    <col min="3" max="3" width="33.28515625" customWidth="1"/>
    <col min="6" max="6" width="24.42578125" customWidth="1"/>
  </cols>
  <sheetData>
    <row r="1" spans="1:19" x14ac:dyDescent="0.2">
      <c r="A1" s="41" t="s">
        <v>738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88.5" customHeight="1" thickBot="1" x14ac:dyDescent="0.25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x14ac:dyDescent="0.2">
      <c r="A3" s="47" t="s">
        <v>233</v>
      </c>
      <c r="B3" s="33" t="s">
        <v>234</v>
      </c>
      <c r="C3" s="49" t="s">
        <v>235</v>
      </c>
      <c r="D3" s="49" t="s">
        <v>254</v>
      </c>
      <c r="E3" s="51" t="s">
        <v>0</v>
      </c>
      <c r="F3" s="51" t="s">
        <v>236</v>
      </c>
      <c r="G3" s="51" t="s">
        <v>421</v>
      </c>
      <c r="H3" s="51"/>
      <c r="I3" s="51"/>
      <c r="J3" s="51"/>
      <c r="K3" s="51" t="s">
        <v>237</v>
      </c>
      <c r="L3" s="51"/>
      <c r="M3" s="51"/>
      <c r="N3" s="51"/>
      <c r="O3" s="51" t="s">
        <v>422</v>
      </c>
      <c r="P3" s="51"/>
      <c r="Q3" s="51"/>
      <c r="R3" s="51"/>
      <c r="S3" s="51" t="s">
        <v>240</v>
      </c>
    </row>
    <row r="4" spans="1:19" ht="13.5" thickBot="1" x14ac:dyDescent="0.25">
      <c r="A4" s="48"/>
      <c r="B4" s="56"/>
      <c r="C4" s="50"/>
      <c r="D4" s="50"/>
      <c r="E4" s="50"/>
      <c r="F4" s="50"/>
      <c r="G4" s="30">
        <v>1</v>
      </c>
      <c r="H4" s="30">
        <v>2</v>
      </c>
      <c r="I4" s="30">
        <v>3</v>
      </c>
      <c r="J4" s="30" t="s">
        <v>238</v>
      </c>
      <c r="K4" s="30">
        <v>1</v>
      </c>
      <c r="L4" s="30">
        <v>2</v>
      </c>
      <c r="M4" s="30">
        <v>3</v>
      </c>
      <c r="N4" s="30" t="s">
        <v>238</v>
      </c>
      <c r="O4" s="30">
        <v>1</v>
      </c>
      <c r="P4" s="30">
        <v>2</v>
      </c>
      <c r="Q4" s="30">
        <v>3</v>
      </c>
      <c r="R4" s="30" t="s">
        <v>238</v>
      </c>
      <c r="S4" s="50"/>
    </row>
    <row r="5" spans="1:19" ht="15.75" thickBot="1" x14ac:dyDescent="0.25">
      <c r="A5" s="52" t="s">
        <v>639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4"/>
    </row>
    <row r="6" spans="1:19" ht="15" x14ac:dyDescent="0.2">
      <c r="A6" s="55" t="s">
        <v>246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6"/>
    </row>
    <row r="7" spans="1:19" x14ac:dyDescent="0.2">
      <c r="A7" s="3">
        <v>1</v>
      </c>
      <c r="B7" s="5" t="s">
        <v>739</v>
      </c>
      <c r="C7" s="5" t="s">
        <v>740</v>
      </c>
      <c r="D7" s="5" t="s">
        <v>741</v>
      </c>
      <c r="E7" s="5" t="str">
        <f>"0,9596"</f>
        <v>0,9596</v>
      </c>
      <c r="F7" s="5" t="s">
        <v>742</v>
      </c>
      <c r="G7" s="21" t="s">
        <v>168</v>
      </c>
      <c r="H7" s="21" t="s">
        <v>129</v>
      </c>
      <c r="I7" s="21" t="s">
        <v>166</v>
      </c>
      <c r="J7" s="3"/>
      <c r="K7" s="21" t="s">
        <v>30</v>
      </c>
      <c r="L7" s="21" t="s">
        <v>31</v>
      </c>
      <c r="M7" s="22" t="s">
        <v>51</v>
      </c>
      <c r="N7" s="3"/>
      <c r="O7" s="21" t="s">
        <v>109</v>
      </c>
      <c r="P7" s="22" t="s">
        <v>83</v>
      </c>
      <c r="Q7" s="22" t="s">
        <v>83</v>
      </c>
      <c r="R7" s="3"/>
      <c r="S7" s="3" t="str">
        <f>"465,0"</f>
        <v>465,0</v>
      </c>
    </row>
    <row r="8" spans="1:19" ht="13.5" thickBot="1" x14ac:dyDescent="0.25">
      <c r="A8" s="4"/>
      <c r="B8" s="4"/>
      <c r="C8" s="4"/>
      <c r="D8" s="4"/>
      <c r="E8" s="4"/>
      <c r="F8" s="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5.75" thickBot="1" x14ac:dyDescent="0.25">
      <c r="A9" s="35" t="s">
        <v>640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</row>
    <row r="10" spans="1:19" ht="15" x14ac:dyDescent="0.2">
      <c r="A10" s="32" t="s">
        <v>246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6"/>
    </row>
    <row r="11" spans="1:19" x14ac:dyDescent="0.2">
      <c r="A11" s="7">
        <v>1</v>
      </c>
      <c r="B11" s="15" t="s">
        <v>743</v>
      </c>
      <c r="C11" s="15" t="s">
        <v>744</v>
      </c>
      <c r="D11" s="15" t="s">
        <v>745</v>
      </c>
      <c r="E11" s="15" t="str">
        <f>"0,7235"</f>
        <v>0,7235</v>
      </c>
      <c r="F11" s="15" t="s">
        <v>746</v>
      </c>
      <c r="G11" s="16" t="s">
        <v>84</v>
      </c>
      <c r="H11" s="16" t="s">
        <v>141</v>
      </c>
      <c r="I11" s="7"/>
      <c r="J11" s="7"/>
      <c r="K11" s="16" t="s">
        <v>9</v>
      </c>
      <c r="L11" s="16" t="s">
        <v>57</v>
      </c>
      <c r="M11" s="17" t="s">
        <v>17</v>
      </c>
      <c r="N11" s="7"/>
      <c r="O11" s="16" t="s">
        <v>151</v>
      </c>
      <c r="P11" s="17" t="s">
        <v>136</v>
      </c>
      <c r="Q11" s="7"/>
      <c r="R11" s="7"/>
      <c r="S11" s="7" t="str">
        <f>"610,0"</f>
        <v>610,0</v>
      </c>
    </row>
    <row r="12" spans="1:19" x14ac:dyDescent="0.2">
      <c r="A12" s="31">
        <v>1</v>
      </c>
      <c r="B12" s="18" t="s">
        <v>747</v>
      </c>
      <c r="C12" s="18" t="s">
        <v>748</v>
      </c>
      <c r="D12" s="18" t="s">
        <v>182</v>
      </c>
      <c r="E12" s="18" t="str">
        <f>"0,7207"</f>
        <v>0,7207</v>
      </c>
      <c r="F12" s="18" t="s">
        <v>463</v>
      </c>
      <c r="G12" s="20" t="s">
        <v>84</v>
      </c>
      <c r="H12" s="20" t="s">
        <v>84</v>
      </c>
      <c r="I12" s="19" t="s">
        <v>127</v>
      </c>
      <c r="J12" s="31"/>
      <c r="K12" s="19" t="s">
        <v>57</v>
      </c>
      <c r="L12" s="19" t="s">
        <v>123</v>
      </c>
      <c r="M12" s="20" t="s">
        <v>17</v>
      </c>
      <c r="N12" s="31"/>
      <c r="O12" s="19" t="s">
        <v>84</v>
      </c>
      <c r="P12" s="19" t="s">
        <v>110</v>
      </c>
      <c r="Q12" s="20" t="s">
        <v>106</v>
      </c>
      <c r="R12" s="31"/>
      <c r="S12" s="31" t="str">
        <f>"582,5"</f>
        <v>582,5</v>
      </c>
    </row>
    <row r="13" spans="1:19" x14ac:dyDescent="0.2">
      <c r="A13" s="4"/>
      <c r="B13" s="4"/>
      <c r="C13" s="4"/>
      <c r="D13" s="4"/>
      <c r="E13" s="4"/>
      <c r="F13" s="4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5" x14ac:dyDescent="0.2">
      <c r="A14" s="32" t="s">
        <v>247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6"/>
    </row>
    <row r="15" spans="1:19" x14ac:dyDescent="0.2">
      <c r="A15" s="7">
        <v>1</v>
      </c>
      <c r="B15" s="15" t="s">
        <v>749</v>
      </c>
      <c r="C15" s="15" t="s">
        <v>750</v>
      </c>
      <c r="D15" s="15" t="s">
        <v>119</v>
      </c>
      <c r="E15" s="15" t="str">
        <f>"0,6699"</f>
        <v>0,6699</v>
      </c>
      <c r="F15" s="15" t="s">
        <v>464</v>
      </c>
      <c r="G15" s="16" t="s">
        <v>125</v>
      </c>
      <c r="H15" s="17" t="s">
        <v>751</v>
      </c>
      <c r="I15" s="17" t="s">
        <v>164</v>
      </c>
      <c r="J15" s="7"/>
      <c r="K15" s="16" t="s">
        <v>95</v>
      </c>
      <c r="L15" s="16" t="s">
        <v>96</v>
      </c>
      <c r="M15" s="16" t="s">
        <v>167</v>
      </c>
      <c r="N15" s="7"/>
      <c r="O15" s="16" t="s">
        <v>136</v>
      </c>
      <c r="P15" s="16" t="s">
        <v>154</v>
      </c>
      <c r="Q15" s="17" t="s">
        <v>125</v>
      </c>
      <c r="R15" s="7"/>
      <c r="S15" s="7" t="str">
        <f>"717,5"</f>
        <v>717,5</v>
      </c>
    </row>
    <row r="16" spans="1:19" x14ac:dyDescent="0.2">
      <c r="A16" s="13">
        <v>2</v>
      </c>
      <c r="B16" s="24" t="s">
        <v>752</v>
      </c>
      <c r="C16" s="24" t="s">
        <v>753</v>
      </c>
      <c r="D16" s="24" t="s">
        <v>754</v>
      </c>
      <c r="E16" s="24" t="str">
        <f>"0,6987"</f>
        <v>0,6987</v>
      </c>
      <c r="F16" s="24" t="s">
        <v>465</v>
      </c>
      <c r="G16" s="26" t="s">
        <v>83</v>
      </c>
      <c r="H16" s="25" t="s">
        <v>83</v>
      </c>
      <c r="I16" s="26" t="s">
        <v>127</v>
      </c>
      <c r="J16" s="13"/>
      <c r="K16" s="25" t="s">
        <v>9</v>
      </c>
      <c r="L16" s="25" t="s">
        <v>57</v>
      </c>
      <c r="M16" s="25" t="s">
        <v>86</v>
      </c>
      <c r="N16" s="13"/>
      <c r="O16" s="26" t="s">
        <v>106</v>
      </c>
      <c r="P16" s="25" t="s">
        <v>120</v>
      </c>
      <c r="Q16" s="25" t="s">
        <v>121</v>
      </c>
      <c r="R16" s="13"/>
      <c r="S16" s="13" t="str">
        <f>"590,0"</f>
        <v>590,0</v>
      </c>
    </row>
    <row r="17" spans="1:19" x14ac:dyDescent="0.2">
      <c r="A17" s="31">
        <v>3</v>
      </c>
      <c r="B17" s="18" t="s">
        <v>755</v>
      </c>
      <c r="C17" s="18" t="s">
        <v>313</v>
      </c>
      <c r="D17" s="18" t="s">
        <v>756</v>
      </c>
      <c r="E17" s="18" t="str">
        <f>"0,6739"</f>
        <v>0,6739</v>
      </c>
      <c r="F17" s="18" t="s">
        <v>757</v>
      </c>
      <c r="G17" s="19" t="s">
        <v>104</v>
      </c>
      <c r="H17" s="20" t="s">
        <v>83</v>
      </c>
      <c r="I17" s="20" t="s">
        <v>83</v>
      </c>
      <c r="J17" s="31"/>
      <c r="K17" s="19" t="s">
        <v>9</v>
      </c>
      <c r="L17" s="19" t="s">
        <v>57</v>
      </c>
      <c r="M17" s="20" t="s">
        <v>86</v>
      </c>
      <c r="N17" s="31"/>
      <c r="O17" s="19" t="s">
        <v>121</v>
      </c>
      <c r="P17" s="20" t="s">
        <v>139</v>
      </c>
      <c r="Q17" s="20" t="s">
        <v>139</v>
      </c>
      <c r="R17" s="31"/>
      <c r="S17" s="31" t="str">
        <f>"575,0"</f>
        <v>575,0</v>
      </c>
    </row>
    <row r="18" spans="1:19" x14ac:dyDescent="0.2">
      <c r="A18" s="4"/>
      <c r="B18" s="4"/>
      <c r="C18" s="4"/>
      <c r="D18" s="4"/>
      <c r="E18" s="4"/>
      <c r="F18" s="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5" x14ac:dyDescent="0.2">
      <c r="A19" s="32" t="s">
        <v>248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6"/>
    </row>
    <row r="20" spans="1:19" x14ac:dyDescent="0.2">
      <c r="A20" s="7">
        <v>1</v>
      </c>
      <c r="B20" s="15" t="s">
        <v>758</v>
      </c>
      <c r="C20" s="15" t="s">
        <v>759</v>
      </c>
      <c r="D20" s="15" t="s">
        <v>686</v>
      </c>
      <c r="E20" s="15" t="str">
        <f>"0,6421"</f>
        <v>0,6421</v>
      </c>
      <c r="F20" s="15" t="s">
        <v>424</v>
      </c>
      <c r="G20" s="16" t="s">
        <v>46</v>
      </c>
      <c r="H20" s="17" t="s">
        <v>96</v>
      </c>
      <c r="I20" s="17" t="s">
        <v>96</v>
      </c>
      <c r="J20" s="7"/>
      <c r="K20" s="16" t="s">
        <v>57</v>
      </c>
      <c r="L20" s="16" t="s">
        <v>114</v>
      </c>
      <c r="M20" s="16" t="s">
        <v>94</v>
      </c>
      <c r="N20" s="7"/>
      <c r="O20" s="16" t="s">
        <v>96</v>
      </c>
      <c r="P20" s="16" t="s">
        <v>115</v>
      </c>
      <c r="Q20" s="16" t="s">
        <v>127</v>
      </c>
      <c r="R20" s="7"/>
      <c r="S20" s="7" t="str">
        <f>"540,0"</f>
        <v>540,0</v>
      </c>
    </row>
    <row r="21" spans="1:19" x14ac:dyDescent="0.2">
      <c r="A21" s="31">
        <v>1</v>
      </c>
      <c r="B21" s="18" t="s">
        <v>760</v>
      </c>
      <c r="C21" s="18" t="s">
        <v>761</v>
      </c>
      <c r="D21" s="18" t="s">
        <v>762</v>
      </c>
      <c r="E21" s="18" t="str">
        <f>"0,6402"</f>
        <v>0,6402</v>
      </c>
      <c r="F21" s="18" t="s">
        <v>424</v>
      </c>
      <c r="G21" s="19" t="s">
        <v>83</v>
      </c>
      <c r="H21" s="19" t="s">
        <v>84</v>
      </c>
      <c r="I21" s="20" t="s">
        <v>110</v>
      </c>
      <c r="J21" s="31"/>
      <c r="K21" s="20" t="s">
        <v>86</v>
      </c>
      <c r="L21" s="19" t="s">
        <v>123</v>
      </c>
      <c r="M21" s="19" t="s">
        <v>99</v>
      </c>
      <c r="N21" s="31"/>
      <c r="O21" s="19" t="s">
        <v>141</v>
      </c>
      <c r="P21" s="19" t="s">
        <v>151</v>
      </c>
      <c r="Q21" s="19" t="s">
        <v>763</v>
      </c>
      <c r="R21" s="31"/>
      <c r="S21" s="31" t="str">
        <f>"612,5"</f>
        <v>612,5</v>
      </c>
    </row>
    <row r="22" spans="1:19" x14ac:dyDescent="0.2">
      <c r="A22" s="4"/>
      <c r="B22" s="4"/>
      <c r="C22" s="4"/>
      <c r="D22" s="4"/>
      <c r="E22" s="4"/>
      <c r="F22" s="4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5" x14ac:dyDescent="0.2">
      <c r="A23" s="32" t="s">
        <v>249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6"/>
    </row>
    <row r="24" spans="1:19" x14ac:dyDescent="0.2">
      <c r="A24" s="7">
        <v>1</v>
      </c>
      <c r="B24" s="15" t="s">
        <v>764</v>
      </c>
      <c r="C24" s="15" t="s">
        <v>765</v>
      </c>
      <c r="D24" s="15" t="s">
        <v>766</v>
      </c>
      <c r="E24" s="15" t="str">
        <f>"0,6091"</f>
        <v>0,6091</v>
      </c>
      <c r="F24" s="15" t="s">
        <v>423</v>
      </c>
      <c r="G24" s="16" t="s">
        <v>154</v>
      </c>
      <c r="H24" s="17" t="s">
        <v>125</v>
      </c>
      <c r="I24" s="17" t="s">
        <v>125</v>
      </c>
      <c r="J24" s="7"/>
      <c r="K24" s="16" t="s">
        <v>99</v>
      </c>
      <c r="L24" s="16" t="s">
        <v>46</v>
      </c>
      <c r="M24" s="16" t="s">
        <v>95</v>
      </c>
      <c r="N24" s="7"/>
      <c r="O24" s="17" t="s">
        <v>162</v>
      </c>
      <c r="P24" s="16" t="s">
        <v>162</v>
      </c>
      <c r="Q24" s="17" t="s">
        <v>767</v>
      </c>
      <c r="R24" s="7"/>
      <c r="S24" s="7" t="str">
        <f>"730,0"</f>
        <v>730,0</v>
      </c>
    </row>
    <row r="25" spans="1:19" x14ac:dyDescent="0.2">
      <c r="A25" s="31">
        <v>1</v>
      </c>
      <c r="B25" s="18" t="s">
        <v>768</v>
      </c>
      <c r="C25" s="18" t="s">
        <v>769</v>
      </c>
      <c r="D25" s="18" t="s">
        <v>698</v>
      </c>
      <c r="E25" s="18" t="str">
        <f>"0,6086"</f>
        <v>0,6086</v>
      </c>
      <c r="F25" s="18" t="s">
        <v>423</v>
      </c>
      <c r="G25" s="19" t="s">
        <v>127</v>
      </c>
      <c r="H25" s="19" t="s">
        <v>141</v>
      </c>
      <c r="I25" s="19" t="s">
        <v>702</v>
      </c>
      <c r="J25" s="31"/>
      <c r="K25" s="19" t="s">
        <v>4</v>
      </c>
      <c r="L25" s="20" t="s">
        <v>19</v>
      </c>
      <c r="M25" s="31"/>
      <c r="N25" s="31"/>
      <c r="O25" s="19" t="s">
        <v>84</v>
      </c>
      <c r="P25" s="19" t="s">
        <v>141</v>
      </c>
      <c r="Q25" s="20" t="s">
        <v>120</v>
      </c>
      <c r="R25" s="31"/>
      <c r="S25" s="31" t="str">
        <f>"572,5"</f>
        <v>572,5</v>
      </c>
    </row>
    <row r="26" spans="1:19" x14ac:dyDescent="0.2">
      <c r="A26" s="4"/>
      <c r="B26" s="4"/>
      <c r="C26" s="4"/>
      <c r="D26" s="4"/>
      <c r="E26" s="4"/>
      <c r="F26" s="4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5" x14ac:dyDescent="0.2">
      <c r="A27" s="32" t="s">
        <v>250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6"/>
    </row>
    <row r="28" spans="1:19" x14ac:dyDescent="0.2">
      <c r="A28" s="7">
        <v>1</v>
      </c>
      <c r="B28" s="15" t="s">
        <v>770</v>
      </c>
      <c r="C28" s="15" t="s">
        <v>771</v>
      </c>
      <c r="D28" s="15" t="s">
        <v>183</v>
      </c>
      <c r="E28" s="15" t="str">
        <f>"0,5900"</f>
        <v>0,5900</v>
      </c>
      <c r="F28" s="15" t="s">
        <v>772</v>
      </c>
      <c r="G28" s="16" t="s">
        <v>155</v>
      </c>
      <c r="H28" s="16" t="s">
        <v>164</v>
      </c>
      <c r="I28" s="16" t="s">
        <v>162</v>
      </c>
      <c r="J28" s="7"/>
      <c r="K28" s="16" t="s">
        <v>99</v>
      </c>
      <c r="L28" s="16" t="s">
        <v>168</v>
      </c>
      <c r="M28" s="17" t="s">
        <v>680</v>
      </c>
      <c r="N28" s="7"/>
      <c r="O28" s="16" t="s">
        <v>154</v>
      </c>
      <c r="P28" s="17" t="s">
        <v>155</v>
      </c>
      <c r="Q28" s="7"/>
      <c r="R28" s="7"/>
      <c r="S28" s="7" t="str">
        <f>"722,5"</f>
        <v>722,5</v>
      </c>
    </row>
    <row r="29" spans="1:19" x14ac:dyDescent="0.2">
      <c r="A29" s="31">
        <v>2</v>
      </c>
      <c r="B29" s="18" t="s">
        <v>773</v>
      </c>
      <c r="C29" s="18" t="s">
        <v>774</v>
      </c>
      <c r="D29" s="18" t="s">
        <v>775</v>
      </c>
      <c r="E29" s="18" t="str">
        <f>"0,5996"</f>
        <v>0,5996</v>
      </c>
      <c r="F29" s="18" t="s">
        <v>435</v>
      </c>
      <c r="G29" s="19" t="s">
        <v>120</v>
      </c>
      <c r="H29" s="19" t="s">
        <v>136</v>
      </c>
      <c r="I29" s="19" t="s">
        <v>154</v>
      </c>
      <c r="J29" s="31"/>
      <c r="K29" s="19" t="s">
        <v>57</v>
      </c>
      <c r="L29" s="19" t="s">
        <v>17</v>
      </c>
      <c r="M29" s="20" t="s">
        <v>100</v>
      </c>
      <c r="N29" s="31"/>
      <c r="O29" s="19" t="s">
        <v>127</v>
      </c>
      <c r="P29" s="19" t="s">
        <v>141</v>
      </c>
      <c r="Q29" s="19" t="s">
        <v>151</v>
      </c>
      <c r="R29" s="31"/>
      <c r="S29" s="31" t="str">
        <f>"650,0"</f>
        <v>650,0</v>
      </c>
    </row>
  </sheetData>
  <mergeCells count="19">
    <mergeCell ref="A19:R19"/>
    <mergeCell ref="A23:R23"/>
    <mergeCell ref="A27:R27"/>
    <mergeCell ref="S3:S4"/>
    <mergeCell ref="A5:S5"/>
    <mergeCell ref="A6:R6"/>
    <mergeCell ref="A9:S9"/>
    <mergeCell ref="A10:R10"/>
    <mergeCell ref="A14:R14"/>
    <mergeCell ref="A1:S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30F97-F161-4635-96B6-B9E39481979C}">
  <dimension ref="A1:S10"/>
  <sheetViews>
    <sheetView topLeftCell="F1" workbookViewId="0">
      <selection sqref="A1:S10"/>
    </sheetView>
  </sheetViews>
  <sheetFormatPr baseColWidth="10" defaultRowHeight="12.75" x14ac:dyDescent="0.2"/>
  <cols>
    <col min="2" max="2" width="22.85546875" customWidth="1"/>
    <col min="3" max="3" width="33.42578125" customWidth="1"/>
    <col min="6" max="6" width="23.42578125" customWidth="1"/>
  </cols>
  <sheetData>
    <row r="1" spans="1:19" x14ac:dyDescent="0.2">
      <c r="A1" s="41" t="s">
        <v>776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82.5" customHeight="1" thickBot="1" x14ac:dyDescent="0.25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x14ac:dyDescent="0.2">
      <c r="A3" s="47" t="s">
        <v>233</v>
      </c>
      <c r="B3" s="33" t="s">
        <v>234</v>
      </c>
      <c r="C3" s="49" t="s">
        <v>235</v>
      </c>
      <c r="D3" s="49" t="s">
        <v>254</v>
      </c>
      <c r="E3" s="51" t="s">
        <v>0</v>
      </c>
      <c r="F3" s="51" t="s">
        <v>236</v>
      </c>
      <c r="G3" s="51" t="s">
        <v>421</v>
      </c>
      <c r="H3" s="51"/>
      <c r="I3" s="51"/>
      <c r="J3" s="51"/>
      <c r="K3" s="51" t="s">
        <v>237</v>
      </c>
      <c r="L3" s="51"/>
      <c r="M3" s="51"/>
      <c r="N3" s="51"/>
      <c r="O3" s="51" t="s">
        <v>422</v>
      </c>
      <c r="P3" s="51"/>
      <c r="Q3" s="51"/>
      <c r="R3" s="51"/>
      <c r="S3" s="38" t="s">
        <v>240</v>
      </c>
    </row>
    <row r="4" spans="1:19" ht="13.5" thickBot="1" x14ac:dyDescent="0.25">
      <c r="A4" s="48"/>
      <c r="B4" s="56"/>
      <c r="C4" s="50"/>
      <c r="D4" s="50"/>
      <c r="E4" s="50"/>
      <c r="F4" s="50"/>
      <c r="G4" s="30">
        <v>1</v>
      </c>
      <c r="H4" s="30">
        <v>2</v>
      </c>
      <c r="I4" s="30">
        <v>3</v>
      </c>
      <c r="J4" s="30" t="s">
        <v>238</v>
      </c>
      <c r="K4" s="30">
        <v>1</v>
      </c>
      <c r="L4" s="30">
        <v>2</v>
      </c>
      <c r="M4" s="30">
        <v>3</v>
      </c>
      <c r="N4" s="30" t="s">
        <v>238</v>
      </c>
      <c r="O4" s="30">
        <v>1</v>
      </c>
      <c r="P4" s="30">
        <v>2</v>
      </c>
      <c r="Q4" s="30">
        <v>3</v>
      </c>
      <c r="R4" s="30" t="s">
        <v>238</v>
      </c>
      <c r="S4" s="39"/>
    </row>
    <row r="5" spans="1:19" ht="15.75" thickBot="1" x14ac:dyDescent="0.25">
      <c r="A5" s="35" t="s">
        <v>640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5" x14ac:dyDescent="0.2">
      <c r="A6" s="55" t="s">
        <v>250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9"/>
    </row>
    <row r="7" spans="1:19" x14ac:dyDescent="0.2">
      <c r="A7" s="3">
        <v>1</v>
      </c>
      <c r="B7" s="5" t="s">
        <v>777</v>
      </c>
      <c r="C7" s="5" t="s">
        <v>778</v>
      </c>
      <c r="D7" s="5" t="s">
        <v>779</v>
      </c>
      <c r="E7" s="5" t="str">
        <f>"0,5952"</f>
        <v>0,5952</v>
      </c>
      <c r="F7" s="5" t="s">
        <v>780</v>
      </c>
      <c r="G7" s="21" t="s">
        <v>110</v>
      </c>
      <c r="H7" s="21" t="s">
        <v>151</v>
      </c>
      <c r="I7" s="22" t="s">
        <v>136</v>
      </c>
      <c r="J7" s="3"/>
      <c r="K7" s="21" t="s">
        <v>17</v>
      </c>
      <c r="L7" s="21" t="s">
        <v>94</v>
      </c>
      <c r="M7" s="3"/>
      <c r="N7" s="3"/>
      <c r="O7" s="21" t="s">
        <v>110</v>
      </c>
      <c r="P7" s="21" t="s">
        <v>121</v>
      </c>
      <c r="Q7" s="3"/>
      <c r="R7" s="3"/>
      <c r="S7" s="12" t="str">
        <f>"645,0"</f>
        <v>645,0</v>
      </c>
    </row>
    <row r="8" spans="1:19" x14ac:dyDescent="0.2">
      <c r="A8" s="4"/>
      <c r="B8" s="4"/>
      <c r="C8" s="4"/>
      <c r="D8" s="4"/>
      <c r="E8" s="4"/>
      <c r="F8" s="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9"/>
    </row>
    <row r="9" spans="1:19" ht="15" x14ac:dyDescent="0.2">
      <c r="A9" s="32" t="s">
        <v>251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9"/>
    </row>
    <row r="10" spans="1:19" x14ac:dyDescent="0.2">
      <c r="A10" s="3" t="s">
        <v>58</v>
      </c>
      <c r="B10" s="5" t="s">
        <v>781</v>
      </c>
      <c r="C10" s="5" t="s">
        <v>782</v>
      </c>
      <c r="D10" s="5" t="s">
        <v>783</v>
      </c>
      <c r="E10" s="5" t="str">
        <f>"0,5808"</f>
        <v>0,5808</v>
      </c>
      <c r="F10" s="5" t="s">
        <v>444</v>
      </c>
      <c r="G10" s="21" t="s">
        <v>136</v>
      </c>
      <c r="H10" s="21" t="s">
        <v>154</v>
      </c>
      <c r="I10" s="21" t="s">
        <v>125</v>
      </c>
      <c r="J10" s="3"/>
      <c r="K10" s="22" t="s">
        <v>136</v>
      </c>
      <c r="L10" s="22" t="s">
        <v>154</v>
      </c>
      <c r="M10" s="22" t="s">
        <v>154</v>
      </c>
      <c r="N10" s="3"/>
      <c r="O10" s="22"/>
      <c r="P10" s="3"/>
      <c r="Q10" s="3"/>
      <c r="R10" s="3"/>
      <c r="S10" s="12">
        <v>0</v>
      </c>
    </row>
  </sheetData>
  <mergeCells count="14">
    <mergeCell ref="S3:S4"/>
    <mergeCell ref="A5:S5"/>
    <mergeCell ref="A6:R6"/>
    <mergeCell ref="A9:R9"/>
    <mergeCell ref="A1:S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89AF6-9102-4917-80E8-D3164CD64283}">
  <dimension ref="A1:K10"/>
  <sheetViews>
    <sheetView workbookViewId="0">
      <selection sqref="A1:K10"/>
    </sheetView>
  </sheetViews>
  <sheetFormatPr baseColWidth="10" defaultRowHeight="12.75" x14ac:dyDescent="0.2"/>
  <cols>
    <col min="2" max="2" width="22.140625" customWidth="1"/>
    <col min="3" max="3" width="31.42578125" customWidth="1"/>
    <col min="6" max="6" width="21.5703125" customWidth="1"/>
  </cols>
  <sheetData>
    <row r="1" spans="1:11" x14ac:dyDescent="0.2">
      <c r="A1" s="58" t="s">
        <v>784</v>
      </c>
      <c r="B1" s="59"/>
      <c r="C1" s="60"/>
      <c r="D1" s="60"/>
      <c r="E1" s="60"/>
      <c r="F1" s="60"/>
      <c r="G1" s="60"/>
      <c r="H1" s="60"/>
      <c r="I1" s="60"/>
      <c r="J1" s="60"/>
      <c r="K1" s="60"/>
    </row>
    <row r="2" spans="1:11" ht="88.5" customHeight="1" thickBot="1" x14ac:dyDescent="0.25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</row>
    <row r="3" spans="1:11" x14ac:dyDescent="0.2">
      <c r="A3" s="64" t="s">
        <v>233</v>
      </c>
      <c r="B3" s="65" t="s">
        <v>234</v>
      </c>
      <c r="C3" s="66" t="s">
        <v>235</v>
      </c>
      <c r="D3" s="66" t="s">
        <v>785</v>
      </c>
      <c r="E3" s="67" t="s">
        <v>0</v>
      </c>
      <c r="F3" s="67" t="s">
        <v>236</v>
      </c>
      <c r="G3" s="67" t="s">
        <v>237</v>
      </c>
      <c r="H3" s="67"/>
      <c r="I3" s="67"/>
      <c r="J3" s="67"/>
      <c r="K3" s="38" t="s">
        <v>239</v>
      </c>
    </row>
    <row r="4" spans="1:11" ht="13.5" thickBot="1" x14ac:dyDescent="0.25">
      <c r="A4" s="68"/>
      <c r="B4" s="69"/>
      <c r="C4" s="70"/>
      <c r="D4" s="70"/>
      <c r="E4" s="70"/>
      <c r="F4" s="70"/>
      <c r="G4" s="71">
        <v>1</v>
      </c>
      <c r="H4" s="71">
        <v>2</v>
      </c>
      <c r="I4" s="71">
        <v>3</v>
      </c>
      <c r="J4" s="71" t="s">
        <v>238</v>
      </c>
      <c r="K4" s="39"/>
    </row>
    <row r="5" spans="1:11" ht="15.75" thickBot="1" x14ac:dyDescent="0.25">
      <c r="A5" s="35" t="s">
        <v>640</v>
      </c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15" x14ac:dyDescent="0.2">
      <c r="A6" s="72" t="s">
        <v>246</v>
      </c>
      <c r="B6" s="72"/>
      <c r="C6" s="72"/>
      <c r="D6" s="72"/>
      <c r="E6" s="72"/>
      <c r="F6" s="72"/>
      <c r="G6" s="72"/>
      <c r="H6" s="72"/>
      <c r="I6" s="72"/>
      <c r="J6" s="72"/>
      <c r="K6" s="9"/>
    </row>
    <row r="7" spans="1:11" x14ac:dyDescent="0.2">
      <c r="A7" s="73" t="s">
        <v>58</v>
      </c>
      <c r="B7" s="74" t="s">
        <v>786</v>
      </c>
      <c r="C7" s="74" t="s">
        <v>787</v>
      </c>
      <c r="D7" s="74" t="s">
        <v>788</v>
      </c>
      <c r="E7" s="74" t="str">
        <f>"0,7173"</f>
        <v>0,7173</v>
      </c>
      <c r="F7" s="74" t="s">
        <v>789</v>
      </c>
      <c r="G7" s="75" t="s">
        <v>47</v>
      </c>
      <c r="H7" s="75" t="s">
        <v>47</v>
      </c>
      <c r="I7" s="75" t="s">
        <v>47</v>
      </c>
      <c r="J7" s="73"/>
      <c r="K7" s="12">
        <v>0</v>
      </c>
    </row>
    <row r="8" spans="1:11" x14ac:dyDescent="0.2">
      <c r="A8" s="76"/>
      <c r="B8" s="76"/>
      <c r="C8" s="76"/>
      <c r="D8" s="76"/>
      <c r="E8" s="76"/>
      <c r="F8" s="76"/>
      <c r="G8" s="77"/>
      <c r="H8" s="77"/>
      <c r="I8" s="77"/>
      <c r="J8" s="77"/>
      <c r="K8" s="9"/>
    </row>
    <row r="9" spans="1:11" ht="15" x14ac:dyDescent="0.2">
      <c r="A9" s="78" t="s">
        <v>249</v>
      </c>
      <c r="B9" s="78"/>
      <c r="C9" s="78"/>
      <c r="D9" s="78"/>
      <c r="E9" s="78"/>
      <c r="F9" s="78"/>
      <c r="G9" s="78"/>
      <c r="H9" s="78"/>
      <c r="I9" s="78"/>
      <c r="J9" s="78"/>
      <c r="K9" s="9"/>
    </row>
    <row r="10" spans="1:11" x14ac:dyDescent="0.2">
      <c r="A10" s="73" t="s">
        <v>58</v>
      </c>
      <c r="B10" s="74" t="s">
        <v>790</v>
      </c>
      <c r="C10" s="74" t="s">
        <v>269</v>
      </c>
      <c r="D10" s="74" t="s">
        <v>216</v>
      </c>
      <c r="E10" s="74" t="str">
        <f>"0,6103"</f>
        <v>0,6103</v>
      </c>
      <c r="F10" s="74" t="s">
        <v>423</v>
      </c>
      <c r="G10" s="75" t="s">
        <v>151</v>
      </c>
      <c r="H10" s="75" t="s">
        <v>151</v>
      </c>
      <c r="I10" s="75" t="s">
        <v>151</v>
      </c>
      <c r="J10" s="73"/>
      <c r="K10" s="12">
        <v>0</v>
      </c>
    </row>
  </sheetData>
  <mergeCells count="12">
    <mergeCell ref="A5:K5"/>
    <mergeCell ref="A6:J6"/>
    <mergeCell ref="A9:J9"/>
    <mergeCell ref="A1:K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PL Raw D</vt:lpstr>
      <vt:lpstr>PL Cl D</vt:lpstr>
      <vt:lpstr>PL SP D</vt:lpstr>
      <vt:lpstr>BP Raw D</vt:lpstr>
      <vt:lpstr>BP SP D</vt:lpstr>
      <vt:lpstr>PL Raw</vt:lpstr>
      <vt:lpstr>PL Cl</vt:lpstr>
      <vt:lpstr>PL SP</vt:lpstr>
      <vt:lpstr>BP SP</vt:lpstr>
      <vt:lpstr>Feuil5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Pascal Girard</cp:lastModifiedBy>
  <cp:revision/>
  <dcterms:created xsi:type="dcterms:W3CDTF">2002-06-16T13:36:44Z</dcterms:created>
  <dcterms:modified xsi:type="dcterms:W3CDTF">2022-05-28T06:36:13Z</dcterms:modified>
  <cp:category/>
  <cp:contentStatus/>
</cp:coreProperties>
</file>