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ascal Girard\Documents\SITE BENCHPRESSCHAMPION.COM\100kg\"/>
    </mc:Choice>
  </mc:AlternateContent>
  <xr:revisionPtr revIDLastSave="0" documentId="13_ncr:1_{6BA7909F-9935-4E08-B7AD-F9A3337202B3}" xr6:coauthVersionLast="45" xr6:coauthVersionMax="46" xr10:uidLastSave="{00000000-0000-0000-0000-000000000000}"/>
  <bookViews>
    <workbookView xWindow="-120" yWindow="-120" windowWidth="29040" windowHeight="15840" firstSheet="10" activeTab="10" xr2:uid="{00000000-000D-0000-FFFF-FFFF00000000}"/>
  </bookViews>
  <sheets>
    <sheet name="СПР Народный 1 вес ДК" sheetId="30" r:id="rId1"/>
    <sheet name="СПР Народный 1 вес" sheetId="28" r:id="rId2"/>
    <sheet name="СПР Народный 1_2 веса ДК" sheetId="31" r:id="rId3"/>
    <sheet name="СПР Народный 1_2 веса" sheetId="29" r:id="rId4"/>
    <sheet name="WSF Подтягивания мн.повт. 25кг" sheetId="51" r:id="rId5"/>
    <sheet name="WSF Отжимания мн.повт. 15кг" sheetId="50" r:id="rId6"/>
    <sheet name="WSF Подтягивания мн.повт. 15кг" sheetId="49" r:id="rId7"/>
    <sheet name="WSF Подтягивания мн.повт. 10кг" sheetId="47" r:id="rId8"/>
    <sheet name="WSF Отжимания мн.повт. 50кг" sheetId="55" r:id="rId9"/>
    <sheet name="WSF Отжимания мн.повт. 35кг" sheetId="54" r:id="rId10"/>
    <sheet name="WSF Отжимания мн.повт. 25кг" sheetId="52" r:id="rId11"/>
    <sheet name="ФЖД Софт однослой многоповт." sheetId="61" r:id="rId12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61" l="1"/>
  <c r="I7" i="61"/>
  <c r="E7" i="61"/>
  <c r="J6" i="61"/>
  <c r="I6" i="61"/>
  <c r="E6" i="61"/>
  <c r="J6" i="55"/>
  <c r="I6" i="55"/>
  <c r="E6" i="55"/>
  <c r="K6" i="54"/>
  <c r="J6" i="54"/>
  <c r="E6" i="54"/>
  <c r="J9" i="52"/>
  <c r="I9" i="52"/>
  <c r="E9" i="52"/>
  <c r="J6" i="52"/>
  <c r="I6" i="52"/>
  <c r="E6" i="52"/>
  <c r="J6" i="51"/>
  <c r="I6" i="51"/>
  <c r="E6" i="51"/>
  <c r="J9" i="50"/>
  <c r="I9" i="50"/>
  <c r="E9" i="50"/>
  <c r="J6" i="50"/>
  <c r="I6" i="50"/>
  <c r="E6" i="50"/>
  <c r="J6" i="49"/>
  <c r="I6" i="49"/>
  <c r="E6" i="49"/>
  <c r="J9" i="47"/>
  <c r="I9" i="47"/>
  <c r="E9" i="47"/>
  <c r="J6" i="47"/>
  <c r="I6" i="47"/>
  <c r="E6" i="47"/>
  <c r="J13" i="31"/>
  <c r="I13" i="31"/>
  <c r="E13" i="31"/>
  <c r="J12" i="31"/>
  <c r="I12" i="31"/>
  <c r="E12" i="31"/>
  <c r="J9" i="31"/>
  <c r="I9" i="31"/>
  <c r="E9" i="31"/>
  <c r="J6" i="31"/>
  <c r="I6" i="31"/>
  <c r="E6" i="31"/>
  <c r="J13" i="30"/>
  <c r="I13" i="30"/>
  <c r="E13" i="30"/>
  <c r="J12" i="30"/>
  <c r="I12" i="30"/>
  <c r="E12" i="30"/>
  <c r="J11" i="30"/>
  <c r="I11" i="30"/>
  <c r="E11" i="30"/>
  <c r="J8" i="30"/>
  <c r="I8" i="30"/>
  <c r="E8" i="30"/>
  <c r="J7" i="30"/>
  <c r="I7" i="30"/>
  <c r="E7" i="30"/>
  <c r="J6" i="30"/>
  <c r="I6" i="30"/>
  <c r="E6" i="30"/>
  <c r="J14" i="29"/>
  <c r="I14" i="29"/>
  <c r="E14" i="29"/>
  <c r="J11" i="29"/>
  <c r="I11" i="29"/>
  <c r="E11" i="29"/>
  <c r="J10" i="29"/>
  <c r="I10" i="29"/>
  <c r="E10" i="29"/>
  <c r="J7" i="29"/>
  <c r="E7" i="29"/>
  <c r="J6" i="29"/>
  <c r="I6" i="29"/>
  <c r="E6" i="29"/>
  <c r="J19" i="28"/>
  <c r="I19" i="28"/>
  <c r="E19" i="28"/>
  <c r="J16" i="28"/>
  <c r="I16" i="28"/>
  <c r="E16" i="28"/>
  <c r="J13" i="28"/>
  <c r="I13" i="28"/>
  <c r="E13" i="28"/>
  <c r="J12" i="28"/>
  <c r="I12" i="28"/>
  <c r="E12" i="28"/>
  <c r="J11" i="28"/>
  <c r="I11" i="28"/>
  <c r="E11" i="28"/>
  <c r="J10" i="28"/>
  <c r="I10" i="28"/>
  <c r="E10" i="28"/>
  <c r="J9" i="28"/>
  <c r="I9" i="28"/>
  <c r="E9" i="28"/>
  <c r="J6" i="28"/>
  <c r="I6" i="28"/>
  <c r="E6" i="28"/>
</calcChain>
</file>

<file path=xl/sharedStrings.xml><?xml version="1.0" encoding="utf-8"?>
<sst xmlns="http://schemas.openxmlformats.org/spreadsheetml/2006/main" count="474" uniqueCount="186">
  <si>
    <t>Место</t>
  </si>
  <si>
    <t>ФИО</t>
  </si>
  <si>
    <t>Возрастная группа
Дата рождения/Возраст</t>
  </si>
  <si>
    <t>Собственный 
вес</t>
  </si>
  <si>
    <t>Reshel</t>
  </si>
  <si>
    <t>Город/Страна</t>
  </si>
  <si>
    <t>Очки</t>
  </si>
  <si>
    <t>Тренер</t>
  </si>
  <si>
    <t>ВЕСОВАЯ КАТЕГОРИЯ   52</t>
  </si>
  <si>
    <t>1</t>
  </si>
  <si>
    <t xml:space="preserve">RUS/Санкт-Петербург </t>
  </si>
  <si>
    <t>72,5</t>
  </si>
  <si>
    <t>45,0</t>
  </si>
  <si>
    <t>47,5</t>
  </si>
  <si>
    <t>95,0</t>
  </si>
  <si>
    <t>110,0</t>
  </si>
  <si>
    <t/>
  </si>
  <si>
    <t>ВЕСОВАЯ КАТЕГОРИЯ   67.5</t>
  </si>
  <si>
    <t xml:space="preserve">RUS/Выборг </t>
  </si>
  <si>
    <t>90,0</t>
  </si>
  <si>
    <t>50,0</t>
  </si>
  <si>
    <t>80,0</t>
  </si>
  <si>
    <t>130,0</t>
  </si>
  <si>
    <t>ВЕСОВАЯ КАТЕГОРИЯ   75</t>
  </si>
  <si>
    <t>Самостоятельно</t>
  </si>
  <si>
    <t>ВЕСОВАЯ КАТЕГОРИЯ   82.5</t>
  </si>
  <si>
    <t>2</t>
  </si>
  <si>
    <t>ВЕСОВАЯ КАТЕГОРИЯ   90</t>
  </si>
  <si>
    <t>-</t>
  </si>
  <si>
    <t>83,90</t>
  </si>
  <si>
    <t>85,0</t>
  </si>
  <si>
    <t>ВЕСОВАЯ КАТЕГОРИЯ   100</t>
  </si>
  <si>
    <t>ВЕСОВАЯ КАТЕГОРИЯ   110</t>
  </si>
  <si>
    <t>75,0</t>
  </si>
  <si>
    <t>ВЕСОВАЯ КАТЕГОРИЯ   60</t>
  </si>
  <si>
    <t>74,90</t>
  </si>
  <si>
    <t>Гунченков Олег</t>
  </si>
  <si>
    <t>Открытая (19.09.1991)/29</t>
  </si>
  <si>
    <t>109,55</t>
  </si>
  <si>
    <t xml:space="preserve">Киселев С. 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</si>
  <si>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</si>
  <si>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</si>
  <si>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</si>
  <si>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</si>
  <si>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>Весовая категория</t>
  </si>
  <si>
    <t xml:space="preserve"> RUS/Санкт-Петербург </t>
  </si>
  <si>
    <t>25,0</t>
  </si>
  <si>
    <t>30,0</t>
  </si>
  <si>
    <t>35,0</t>
  </si>
  <si>
    <t xml:space="preserve">Шмонина В. </t>
  </si>
  <si>
    <t>3</t>
  </si>
  <si>
    <t>37,5</t>
  </si>
  <si>
    <t xml:space="preserve">Ловчиков А. </t>
  </si>
  <si>
    <t xml:space="preserve">Скворцов М. </t>
  </si>
  <si>
    <t>Результат</t>
  </si>
  <si>
    <t>70,90</t>
  </si>
  <si>
    <t>Нефедова Наталья</t>
  </si>
  <si>
    <t>Мастера 40-49 (13.03.1980)/40</t>
  </si>
  <si>
    <t>51,70</t>
  </si>
  <si>
    <t xml:space="preserve">Белоокий В. </t>
  </si>
  <si>
    <t>27,5</t>
  </si>
  <si>
    <t>42,5</t>
  </si>
  <si>
    <t>Кузнецова Анастасия</t>
  </si>
  <si>
    <t>4</t>
  </si>
  <si>
    <t>Куприяновский Алексей</t>
  </si>
  <si>
    <t>Открытая (31.01.1990)/30</t>
  </si>
  <si>
    <t>73,95</t>
  </si>
  <si>
    <t>Миленин Станислав</t>
  </si>
  <si>
    <t>Мастера 40-49 (04.07.1975)/45</t>
  </si>
  <si>
    <t>70,75</t>
  </si>
  <si>
    <t xml:space="preserve">RUS/Кронштадт </t>
  </si>
  <si>
    <t>Костылев Александр</t>
  </si>
  <si>
    <t>Открытая (28.04.1987)/33</t>
  </si>
  <si>
    <t>81,80</t>
  </si>
  <si>
    <t>89,00</t>
  </si>
  <si>
    <t xml:space="preserve">Мужчины </t>
  </si>
  <si>
    <t>90</t>
  </si>
  <si>
    <t>Открытая (08.02.1988)/32</t>
  </si>
  <si>
    <t xml:space="preserve">Киселёв С. </t>
  </si>
  <si>
    <t>100</t>
  </si>
  <si>
    <t xml:space="preserve">RUS/Гатчина </t>
  </si>
  <si>
    <t>Gloss</t>
  </si>
  <si>
    <t>Открытый Кубок Европы
СПР Народный жим 1 вес ДК
Санкт-Петербург, 3 - 4 октября 2020 года</t>
  </si>
  <si>
    <t>Народный жим</t>
  </si>
  <si>
    <t>Вес</t>
  </si>
  <si>
    <t>Повторы</t>
  </si>
  <si>
    <t>Берков Дмитрий</t>
  </si>
  <si>
    <t>Открытая (07.08.1986)/34</t>
  </si>
  <si>
    <t>75,00</t>
  </si>
  <si>
    <t>Демин Василий</t>
  </si>
  <si>
    <t>Открытая (06.11.1989)/30</t>
  </si>
  <si>
    <t>79,95</t>
  </si>
  <si>
    <t xml:space="preserve"> </t>
  </si>
  <si>
    <t>82,5</t>
  </si>
  <si>
    <t>Лалетин Антон</t>
  </si>
  <si>
    <t>Открытая (14.09.1990)/30</t>
  </si>
  <si>
    <t>77,90</t>
  </si>
  <si>
    <t xml:space="preserve">Гладков А. </t>
  </si>
  <si>
    <t>Открытый Кубок Европы
СПР Народный жим 1 вес
Санкт-Петербург, 3 - 4 октября 2020 года</t>
  </si>
  <si>
    <t>Криган Сергей</t>
  </si>
  <si>
    <t>Открытая (20.06.1986)/34</t>
  </si>
  <si>
    <t>74,55</t>
  </si>
  <si>
    <t xml:space="preserve">Кресель С. </t>
  </si>
  <si>
    <t>Киселёв Сергей</t>
  </si>
  <si>
    <t>Открытая (27.05.1985)/35</t>
  </si>
  <si>
    <t xml:space="preserve">Кузнецова А. </t>
  </si>
  <si>
    <t>Ловчиков Алексей</t>
  </si>
  <si>
    <t>Открытая (25.02.1972)/48</t>
  </si>
  <si>
    <t>83,85</t>
  </si>
  <si>
    <t>Латышев Сергей</t>
  </si>
  <si>
    <t>Открытая (27.11.1983)/36</t>
  </si>
  <si>
    <t>83,00</t>
  </si>
  <si>
    <t xml:space="preserve">RUS/Вологда </t>
  </si>
  <si>
    <t>Суриков Сергей</t>
  </si>
  <si>
    <t>Открытая (30.03.1985)/35</t>
  </si>
  <si>
    <t>88,40</t>
  </si>
  <si>
    <t>Мастера 40-49 (25.02.1972)/48</t>
  </si>
  <si>
    <t>Рыженков Николай</t>
  </si>
  <si>
    <t>Открытая (20.08.1989)/31</t>
  </si>
  <si>
    <t>94,70</t>
  </si>
  <si>
    <t xml:space="preserve">Кожин Б </t>
  </si>
  <si>
    <t>Тоннаж</t>
  </si>
  <si>
    <t xml:space="preserve">Gloss </t>
  </si>
  <si>
    <t>3400,0</t>
  </si>
  <si>
    <t>2169,1149</t>
  </si>
  <si>
    <t>3420,0</t>
  </si>
  <si>
    <t>2105,6940</t>
  </si>
  <si>
    <t>2037,8070</t>
  </si>
  <si>
    <t>Открытый Кубок Европы
СПР Народный жим 1/2 веса ДК
Санкт-Петербург, 3 - 4 октября 2020 года</t>
  </si>
  <si>
    <t>Димитрова Анна</t>
  </si>
  <si>
    <t>Открытая (17.04.1985)/35</t>
  </si>
  <si>
    <t>59,10</t>
  </si>
  <si>
    <t>Микита Иван</t>
  </si>
  <si>
    <t>Юноши 13-19 (26.11.2003)/16</t>
  </si>
  <si>
    <t>88,15</t>
  </si>
  <si>
    <t>Быков Николай</t>
  </si>
  <si>
    <t>Мастера 60+ (29.08.1956)/64</t>
  </si>
  <si>
    <t>84,45</t>
  </si>
  <si>
    <t>Открытый Кубок Европы
СПР Народный жим 1/2 веса
Санкт-Петербург, 3 - 4 октября 2020 года</t>
  </si>
  <si>
    <t>Глазачева Станислава</t>
  </si>
  <si>
    <t>Девушки 13-19 (17.02.2004)/16</t>
  </si>
  <si>
    <t>68,25</t>
  </si>
  <si>
    <t>Чанцев Виктор</t>
  </si>
  <si>
    <t>Мастера 60+ (02.09.1957)/63</t>
  </si>
  <si>
    <t>84,70</t>
  </si>
  <si>
    <t>Варанкин Сергей</t>
  </si>
  <si>
    <t>Мастера 60+ (30.06.1957)/63</t>
  </si>
  <si>
    <t>92,80</t>
  </si>
  <si>
    <t xml:space="preserve">RUS/Киров </t>
  </si>
  <si>
    <t>Команда</t>
  </si>
  <si>
    <t xml:space="preserve">Лично </t>
  </si>
  <si>
    <t>Открытый Кубок Европы
WSF Подтягивания многоповторные 25кг
Санкт-Петербург, 3 - 4 октября 2020 года</t>
  </si>
  <si>
    <t>Подтягивания многоповторные</t>
  </si>
  <si>
    <t>Бортник Роман</t>
  </si>
  <si>
    <t>Открытая (10.12.1990)/29</t>
  </si>
  <si>
    <t>Открытый Кубок Европы
WSF Отжимания многоповторные 15кг
Санкт-Петербург, 3 - 4 октября 2020 года</t>
  </si>
  <si>
    <t>Отжимания многоповторные</t>
  </si>
  <si>
    <t>Кияшко Надежда</t>
  </si>
  <si>
    <t>Открытая (19.05.1994)/26</t>
  </si>
  <si>
    <t>63,25</t>
  </si>
  <si>
    <t>15,0</t>
  </si>
  <si>
    <t xml:space="preserve">Конников С. </t>
  </si>
  <si>
    <t>ВЕСОВАЯ КАТЕГОРИЯ   100+</t>
  </si>
  <si>
    <t>Конников Станислав</t>
  </si>
  <si>
    <t>Открытая (10.08.1986)/34</t>
  </si>
  <si>
    <t>100,60</t>
  </si>
  <si>
    <t>Открытый Кубок Европы
WSF Подтягивания многоповторные 15кг
Санкт-Петербург, 3 - 4 октября 2020 года</t>
  </si>
  <si>
    <t>Кузьмин Максим</t>
  </si>
  <si>
    <t>Юноши 13-19 (06.02.2001)/19</t>
  </si>
  <si>
    <t xml:space="preserve">RUS/Буинск </t>
  </si>
  <si>
    <t>Открытый Кубок Европы
WSF Подтягивания многоповторные 10кг
Санкт-Петербург, 3 - 4 октября 2020 года</t>
  </si>
  <si>
    <t>10,0</t>
  </si>
  <si>
    <t>Открытый Кубок Европы
WSF Отжимания многоповторные 50кг
Санкт-Петербург, 3 - 4 октября 2020 года</t>
  </si>
  <si>
    <t>Открытый Кубок Европы
WSF Отжимания многоповторные 35кг
Санкт-Петербург, 3 - 4 октября 2020 года</t>
  </si>
  <si>
    <t>Открытый Кубок Европы
WSF Отжимания многоповторные 25кг
Санкт-Петербург, 3 - 4 октября 2020 года</t>
  </si>
  <si>
    <t>Суманов Александр</t>
  </si>
  <si>
    <t>Открытая (22.07.1982)/38</t>
  </si>
  <si>
    <t>100,55</t>
  </si>
  <si>
    <t>Жим многоповторный</t>
  </si>
  <si>
    <t>Wilks</t>
  </si>
  <si>
    <t>Открытый Кубок Европы
ФЖД Софт экипировка однослойная жим многоповторный
Санкт-Петербург, 3 - 4 октября 2020 года</t>
  </si>
  <si>
    <t>ВЕСОВАЯ КАТЕГОРИЯ   130</t>
  </si>
  <si>
    <t>Орехов Виталий</t>
  </si>
  <si>
    <t>Открытая (02.05.1977)/43</t>
  </si>
  <si>
    <t>120,10</t>
  </si>
  <si>
    <t>Мастера 40-44 (02.05.1977)/43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</si>
</sst>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3A71-F0BC-4A93-A944-56DB437E9064}">
  <dimension ref="A1:K14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4" bestFit="1" customWidth="1"/>
    <col min="2" max="2" width="22.140625" style="4" bestFit="1" customWidth="1"/>
    <col min="3" max="3" width="28.42578125" style="4" bestFit="1" customWidth="1"/>
    <col min="4" max="4" width="21.42578125" style="4" bestFit="1" customWidth="1"/>
    <col min="5" max="5" width="10.42578125" style="4" bestFit="1" customWidth="1"/>
    <col min="6" max="6" width="20.42578125" style="4" bestFit="1" customWidth="1"/>
    <col min="7" max="7" width="8.140625" style="5" customWidth="1"/>
    <col min="8" max="8" width="10.42578125" style="23" customWidth="1"/>
    <col min="9" max="9" width="10.42578125" style="5" customWidth="1"/>
    <col min="10" max="10" width="9.42578125" style="5" bestFit="1" customWidth="1"/>
    <col min="11" max="11" width="15.42578125" style="4" bestFit="1" customWidth="1"/>
    <col min="12" max="16384" width="9.140625" style="3"/>
  </cols>
  <sheetData>
    <row r="1" spans="1:11" s="2" customFormat="1" ht="29.1" customHeight="1" x14ac:dyDescent="0.2">
      <c r="A1" s="33" t="s">
        <v>82</v>
      </c>
      <c r="B1" s="34"/>
      <c r="C1" s="35"/>
      <c r="D1" s="35"/>
      <c r="E1" s="35"/>
      <c r="F1" s="35"/>
      <c r="G1" s="35"/>
      <c r="H1" s="35"/>
      <c r="I1" s="35"/>
      <c r="J1" s="35"/>
      <c r="K1" s="36"/>
    </row>
    <row r="2" spans="1:11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81</v>
      </c>
      <c r="F3" s="31" t="s">
        <v>5</v>
      </c>
      <c r="G3" s="31" t="s">
        <v>83</v>
      </c>
      <c r="H3" s="31"/>
      <c r="I3" s="31" t="s">
        <v>54</v>
      </c>
      <c r="J3" s="31" t="s">
        <v>6</v>
      </c>
      <c r="K3" s="44" t="s">
        <v>7</v>
      </c>
    </row>
    <row r="4" spans="1:11" s="1" customFormat="1" ht="21" customHeight="1" thickBot="1" x14ac:dyDescent="0.25">
      <c r="A4" s="42"/>
      <c r="B4" s="49"/>
      <c r="C4" s="32"/>
      <c r="D4" s="32"/>
      <c r="E4" s="32"/>
      <c r="F4" s="32"/>
      <c r="G4" s="27" t="s">
        <v>84</v>
      </c>
      <c r="H4" s="20" t="s">
        <v>85</v>
      </c>
      <c r="I4" s="32"/>
      <c r="J4" s="32"/>
      <c r="K4" s="45"/>
    </row>
    <row r="5" spans="1:11" ht="15" x14ac:dyDescent="0.2">
      <c r="A5" s="50" t="s">
        <v>23</v>
      </c>
      <c r="B5" s="50"/>
      <c r="C5" s="51"/>
      <c r="D5" s="51"/>
      <c r="E5" s="51"/>
      <c r="F5" s="51"/>
      <c r="G5" s="51"/>
      <c r="H5" s="51"/>
    </row>
    <row r="6" spans="1:11" x14ac:dyDescent="0.2">
      <c r="A6" s="9" t="s">
        <v>9</v>
      </c>
      <c r="B6" s="8" t="s">
        <v>86</v>
      </c>
      <c r="C6" s="8" t="s">
        <v>87</v>
      </c>
      <c r="D6" s="8" t="s">
        <v>88</v>
      </c>
      <c r="E6" s="8" t="str">
        <f>"0,6885"</f>
        <v>0,6885</v>
      </c>
      <c r="F6" s="8" t="s">
        <v>80</v>
      </c>
      <c r="G6" s="9" t="s">
        <v>33</v>
      </c>
      <c r="H6" s="21">
        <v>35</v>
      </c>
      <c r="I6" s="9" t="str">
        <f>"2625,0"</f>
        <v>2625,0</v>
      </c>
      <c r="J6" s="9" t="str">
        <f>"1807,4437"</f>
        <v>1807,4437</v>
      </c>
      <c r="K6" s="8" t="s">
        <v>24</v>
      </c>
    </row>
    <row r="7" spans="1:11" x14ac:dyDescent="0.2">
      <c r="A7" s="13" t="s">
        <v>26</v>
      </c>
      <c r="B7" s="12" t="s">
        <v>64</v>
      </c>
      <c r="C7" s="12" t="s">
        <v>65</v>
      </c>
      <c r="D7" s="12" t="s">
        <v>66</v>
      </c>
      <c r="E7" s="12" t="str">
        <f>"0,6958"</f>
        <v>0,6958</v>
      </c>
      <c r="F7" s="12" t="s">
        <v>10</v>
      </c>
      <c r="G7" s="13" t="s">
        <v>33</v>
      </c>
      <c r="H7" s="26">
        <v>30</v>
      </c>
      <c r="I7" s="13" t="str">
        <f>"2250,0"</f>
        <v>2250,0</v>
      </c>
      <c r="J7" s="13" t="str">
        <f>"1565,5500"</f>
        <v>1565,5500</v>
      </c>
      <c r="K7" s="12" t="s">
        <v>24</v>
      </c>
    </row>
    <row r="8" spans="1:11" x14ac:dyDescent="0.2">
      <c r="A8" s="11" t="s">
        <v>9</v>
      </c>
      <c r="B8" s="10" t="s">
        <v>67</v>
      </c>
      <c r="C8" s="10" t="s">
        <v>68</v>
      </c>
      <c r="D8" s="10" t="s">
        <v>69</v>
      </c>
      <c r="E8" s="10" t="str">
        <f>"0,7201"</f>
        <v>0,7201</v>
      </c>
      <c r="F8" s="10" t="s">
        <v>70</v>
      </c>
      <c r="G8" s="11" t="s">
        <v>11</v>
      </c>
      <c r="H8" s="22">
        <v>22</v>
      </c>
      <c r="I8" s="11" t="str">
        <f>"1595,0"</f>
        <v>1595,0</v>
      </c>
      <c r="J8" s="11" t="str">
        <f>"1211,6798"</f>
        <v>1211,6798</v>
      </c>
      <c r="K8" s="10" t="s">
        <v>53</v>
      </c>
    </row>
    <row r="9" spans="1:11" x14ac:dyDescent="0.2">
      <c r="B9" s="4" t="s">
        <v>16</v>
      </c>
    </row>
    <row r="10" spans="1:11" ht="15" x14ac:dyDescent="0.2">
      <c r="A10" s="46" t="s">
        <v>25</v>
      </c>
      <c r="B10" s="46"/>
      <c r="C10" s="47"/>
      <c r="D10" s="47"/>
      <c r="E10" s="47"/>
      <c r="F10" s="47"/>
      <c r="G10" s="47"/>
      <c r="H10" s="47"/>
    </row>
    <row r="11" spans="1:11" x14ac:dyDescent="0.2">
      <c r="A11" s="9" t="s">
        <v>9</v>
      </c>
      <c r="B11" s="8" t="s">
        <v>89</v>
      </c>
      <c r="C11" s="8" t="s">
        <v>90</v>
      </c>
      <c r="D11" s="8" t="s">
        <v>91</v>
      </c>
      <c r="E11" s="8" t="str">
        <f>"0,6581"</f>
        <v>0,6581</v>
      </c>
      <c r="F11" s="8" t="s">
        <v>92</v>
      </c>
      <c r="G11" s="9" t="s">
        <v>21</v>
      </c>
      <c r="H11" s="21">
        <v>30</v>
      </c>
      <c r="I11" s="9" t="str">
        <f>"2400,0"</f>
        <v>2400,0</v>
      </c>
      <c r="J11" s="9" t="str">
        <f>"1579,3799"</f>
        <v>1579,3799</v>
      </c>
      <c r="K11" s="8" t="s">
        <v>39</v>
      </c>
    </row>
    <row r="12" spans="1:11" x14ac:dyDescent="0.2">
      <c r="A12" s="13" t="s">
        <v>26</v>
      </c>
      <c r="B12" s="12" t="s">
        <v>71</v>
      </c>
      <c r="C12" s="12" t="s">
        <v>72</v>
      </c>
      <c r="D12" s="12" t="s">
        <v>73</v>
      </c>
      <c r="E12" s="12" t="str">
        <f>"0,6482"</f>
        <v>0,6482</v>
      </c>
      <c r="F12" s="12" t="s">
        <v>10</v>
      </c>
      <c r="G12" s="13" t="s">
        <v>93</v>
      </c>
      <c r="H12" s="26">
        <v>23</v>
      </c>
      <c r="I12" s="13" t="str">
        <f>"1897,5"</f>
        <v>1897,5</v>
      </c>
      <c r="J12" s="13" t="str">
        <f>"1229,9595"</f>
        <v>1229,9595</v>
      </c>
      <c r="K12" s="12" t="s">
        <v>24</v>
      </c>
    </row>
    <row r="13" spans="1:11" x14ac:dyDescent="0.2">
      <c r="A13" s="11" t="s">
        <v>50</v>
      </c>
      <c r="B13" s="10" t="s">
        <v>94</v>
      </c>
      <c r="C13" s="10" t="s">
        <v>95</v>
      </c>
      <c r="D13" s="10" t="s">
        <v>96</v>
      </c>
      <c r="E13" s="10" t="str">
        <f>"0,6700"</f>
        <v>0,6700</v>
      </c>
      <c r="F13" s="10" t="s">
        <v>10</v>
      </c>
      <c r="G13" s="11" t="s">
        <v>21</v>
      </c>
      <c r="H13" s="22">
        <v>17</v>
      </c>
      <c r="I13" s="11" t="str">
        <f>"1360,0"</f>
        <v>1360,0</v>
      </c>
      <c r="J13" s="11" t="str">
        <f>"911,1320"</f>
        <v>911,1320</v>
      </c>
      <c r="K13" s="10" t="s">
        <v>97</v>
      </c>
    </row>
    <row r="14" spans="1:11" x14ac:dyDescent="0.2">
      <c r="B14" s="4" t="s">
        <v>16</v>
      </c>
    </row>
  </sheetData>
  <mergeCells count="13">
    <mergeCell ref="A10:H10"/>
    <mergeCell ref="B3:B4"/>
    <mergeCell ref="G3:H3"/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2664-6542-44EF-B875-32FB07D82A4F}">
  <dimension ref="A1:L7"/>
  <sheetViews>
    <sheetView workbookViewId="0">
      <selection sqref="A1:L2"/>
    </sheetView>
  </sheetViews>
  <sheetFormatPr baseColWidth="10" defaultColWidth="9.140625" defaultRowHeight="12.75" x14ac:dyDescent="0.2"/>
  <cols>
    <col min="1" max="1" width="7.42578125" style="4" bestFit="1" customWidth="1"/>
    <col min="2" max="2" width="15.7109375" style="4" bestFit="1" customWidth="1"/>
    <col min="3" max="3" width="27.7109375" style="4" bestFit="1" customWidth="1"/>
    <col min="4" max="4" width="21.42578125" style="4" bestFit="1" customWidth="1"/>
    <col min="5" max="5" width="10.42578125" style="4" bestFit="1" customWidth="1"/>
    <col min="6" max="6" width="22.7109375" style="4" bestFit="1" customWidth="1"/>
    <col min="7" max="7" width="15.42578125" style="4" bestFit="1" customWidth="1"/>
    <col min="8" max="8" width="14" style="5" customWidth="1"/>
    <col min="9" max="9" width="13.42578125" style="23" customWidth="1"/>
    <col min="10" max="10" width="10.42578125" style="5" bestFit="1" customWidth="1"/>
    <col min="11" max="11" width="8.42578125" style="5" bestFit="1" customWidth="1"/>
    <col min="12" max="12" width="15.42578125" style="4" bestFit="1" customWidth="1"/>
    <col min="13" max="16384" width="9.140625" style="3"/>
  </cols>
  <sheetData>
    <row r="1" spans="1:12" s="2" customFormat="1" ht="29.1" customHeight="1" x14ac:dyDescent="0.2">
      <c r="A1" s="33" t="s">
        <v>173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4</v>
      </c>
      <c r="F3" s="31" t="s">
        <v>149</v>
      </c>
      <c r="G3" s="31" t="s">
        <v>5</v>
      </c>
      <c r="H3" s="31" t="s">
        <v>156</v>
      </c>
      <c r="I3" s="31"/>
      <c r="J3" s="31" t="s">
        <v>54</v>
      </c>
      <c r="K3" s="31" t="s">
        <v>6</v>
      </c>
      <c r="L3" s="44" t="s">
        <v>7</v>
      </c>
    </row>
    <row r="4" spans="1:12" s="1" customFormat="1" ht="21" customHeight="1" thickBot="1" x14ac:dyDescent="0.25">
      <c r="A4" s="42"/>
      <c r="B4" s="49"/>
      <c r="C4" s="32"/>
      <c r="D4" s="32"/>
      <c r="E4" s="32"/>
      <c r="F4" s="32"/>
      <c r="G4" s="32"/>
      <c r="H4" s="27" t="s">
        <v>84</v>
      </c>
      <c r="I4" s="20" t="s">
        <v>85</v>
      </c>
      <c r="J4" s="32"/>
      <c r="K4" s="32"/>
      <c r="L4" s="45"/>
    </row>
    <row r="5" spans="1:12" ht="15" x14ac:dyDescent="0.2">
      <c r="A5" s="50" t="s">
        <v>23</v>
      </c>
      <c r="B5" s="50"/>
      <c r="C5" s="51"/>
      <c r="D5" s="51"/>
      <c r="E5" s="51"/>
      <c r="F5" s="51"/>
      <c r="G5" s="51"/>
      <c r="H5" s="51"/>
      <c r="I5" s="51"/>
    </row>
    <row r="6" spans="1:12" x14ac:dyDescent="0.2">
      <c r="A6" s="7" t="s">
        <v>9</v>
      </c>
      <c r="B6" s="6" t="s">
        <v>167</v>
      </c>
      <c r="C6" s="6" t="s">
        <v>168</v>
      </c>
      <c r="D6" s="6" t="s">
        <v>55</v>
      </c>
      <c r="E6" s="6" t="str">
        <f>"1,1796"</f>
        <v>1,1796</v>
      </c>
      <c r="F6" s="6" t="s">
        <v>150</v>
      </c>
      <c r="G6" s="6" t="s">
        <v>169</v>
      </c>
      <c r="H6" s="7" t="s">
        <v>48</v>
      </c>
      <c r="I6" s="25">
        <v>24</v>
      </c>
      <c r="J6" s="7" t="str">
        <f>"840,0"</f>
        <v>840,0</v>
      </c>
      <c r="K6" s="7" t="str">
        <f>"990,8640"</f>
        <v>990,8640</v>
      </c>
      <c r="L6" s="6" t="s">
        <v>24</v>
      </c>
    </row>
    <row r="7" spans="1:12" x14ac:dyDescent="0.2">
      <c r="B7" s="4" t="s">
        <v>16</v>
      </c>
    </row>
  </sheetData>
  <mergeCells count="13">
    <mergeCell ref="A5:I5"/>
    <mergeCell ref="B3:B4"/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  <mergeCell ref="L3:L4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35BD-2FFE-48C2-97FA-257ACF07AA6F}">
  <dimension ref="A1:K10"/>
  <sheetViews>
    <sheetView tabSelected="1" workbookViewId="0">
      <selection sqref="A1:K2"/>
    </sheetView>
  </sheetViews>
  <sheetFormatPr baseColWidth="10" defaultColWidth="9.140625" defaultRowHeight="12.75" x14ac:dyDescent="0.2"/>
  <cols>
    <col min="1" max="1" width="7.42578125" style="4" bestFit="1" customWidth="1"/>
    <col min="2" max="2" width="18.7109375" style="4" bestFit="1" customWidth="1"/>
    <col min="3" max="3" width="26.28515625" style="4" bestFit="1" customWidth="1"/>
    <col min="4" max="4" width="21.42578125" style="4" bestFit="1" customWidth="1"/>
    <col min="5" max="5" width="10.42578125" style="4" bestFit="1" customWidth="1"/>
    <col min="6" max="6" width="20.42578125" style="4" bestFit="1" customWidth="1"/>
    <col min="7" max="7" width="14.140625" style="5" customWidth="1"/>
    <col min="8" max="8" width="16.28515625" style="23" customWidth="1"/>
    <col min="9" max="9" width="10.42578125" style="5" bestFit="1" customWidth="1"/>
    <col min="10" max="10" width="8.42578125" style="5" bestFit="1" customWidth="1"/>
    <col min="11" max="11" width="15.7109375" style="4" bestFit="1" customWidth="1"/>
    <col min="12" max="16384" width="9.140625" style="3"/>
  </cols>
  <sheetData>
    <row r="1" spans="1:11" s="2" customFormat="1" ht="29.1" customHeight="1" x14ac:dyDescent="0.2">
      <c r="A1" s="33" t="s">
        <v>174</v>
      </c>
      <c r="B1" s="34"/>
      <c r="C1" s="35"/>
      <c r="D1" s="35"/>
      <c r="E1" s="35"/>
      <c r="F1" s="35"/>
      <c r="G1" s="35"/>
      <c r="H1" s="35"/>
      <c r="I1" s="35"/>
      <c r="J1" s="35"/>
      <c r="K1" s="36"/>
    </row>
    <row r="2" spans="1:11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4</v>
      </c>
      <c r="F3" s="31" t="s">
        <v>5</v>
      </c>
      <c r="G3" s="31" t="s">
        <v>156</v>
      </c>
      <c r="H3" s="31"/>
      <c r="I3" s="31" t="s">
        <v>54</v>
      </c>
      <c r="J3" s="31" t="s">
        <v>6</v>
      </c>
      <c r="K3" s="44" t="s">
        <v>7</v>
      </c>
    </row>
    <row r="4" spans="1:11" s="1" customFormat="1" ht="21" customHeight="1" thickBot="1" x14ac:dyDescent="0.25">
      <c r="A4" s="42"/>
      <c r="B4" s="49"/>
      <c r="C4" s="32"/>
      <c r="D4" s="32"/>
      <c r="E4" s="32"/>
      <c r="F4" s="32"/>
      <c r="G4" s="27" t="s">
        <v>84</v>
      </c>
      <c r="H4" s="20" t="s">
        <v>85</v>
      </c>
      <c r="I4" s="32"/>
      <c r="J4" s="32"/>
      <c r="K4" s="45"/>
    </row>
    <row r="5" spans="1:11" ht="15" x14ac:dyDescent="0.2">
      <c r="A5" s="50" t="s">
        <v>27</v>
      </c>
      <c r="B5" s="50"/>
      <c r="C5" s="51"/>
      <c r="D5" s="51"/>
      <c r="E5" s="51"/>
      <c r="F5" s="51"/>
      <c r="G5" s="51"/>
      <c r="H5" s="51"/>
    </row>
    <row r="6" spans="1:11" x14ac:dyDescent="0.2">
      <c r="A6" s="7" t="s">
        <v>9</v>
      </c>
      <c r="B6" s="6" t="s">
        <v>153</v>
      </c>
      <c r="C6" s="6" t="s">
        <v>154</v>
      </c>
      <c r="D6" s="6" t="s">
        <v>29</v>
      </c>
      <c r="E6" s="6" t="str">
        <f>"1,0158"</f>
        <v>1,0158</v>
      </c>
      <c r="F6" s="6" t="s">
        <v>10</v>
      </c>
      <c r="G6" s="7" t="s">
        <v>46</v>
      </c>
      <c r="H6" s="25">
        <v>21</v>
      </c>
      <c r="I6" s="7" t="str">
        <f>"525,0"</f>
        <v>525,0</v>
      </c>
      <c r="J6" s="7" t="str">
        <f>"533,2950"</f>
        <v>533,2950</v>
      </c>
      <c r="K6" s="6" t="s">
        <v>24</v>
      </c>
    </row>
    <row r="7" spans="1:11" x14ac:dyDescent="0.2">
      <c r="B7" s="4" t="s">
        <v>16</v>
      </c>
    </row>
    <row r="8" spans="1:11" ht="15" x14ac:dyDescent="0.2">
      <c r="A8" s="46" t="s">
        <v>162</v>
      </c>
      <c r="B8" s="46"/>
      <c r="C8" s="47"/>
      <c r="D8" s="47"/>
      <c r="E8" s="47"/>
      <c r="F8" s="47"/>
      <c r="G8" s="47"/>
      <c r="H8" s="47"/>
    </row>
    <row r="9" spans="1:11" x14ac:dyDescent="0.2">
      <c r="A9" s="7" t="s">
        <v>9</v>
      </c>
      <c r="B9" s="6" t="s">
        <v>175</v>
      </c>
      <c r="C9" s="6" t="s">
        <v>176</v>
      </c>
      <c r="D9" s="6" t="s">
        <v>177</v>
      </c>
      <c r="E9" s="6" t="str">
        <f>"0,9128"</f>
        <v>0,9128</v>
      </c>
      <c r="F9" s="6" t="s">
        <v>10</v>
      </c>
      <c r="G9" s="7" t="s">
        <v>46</v>
      </c>
      <c r="H9" s="25">
        <v>26</v>
      </c>
      <c r="I9" s="7" t="str">
        <f>"650,0"</f>
        <v>650,0</v>
      </c>
      <c r="J9" s="7" t="str">
        <f>"593,3200"</f>
        <v>593,3200</v>
      </c>
      <c r="K9" s="6" t="s">
        <v>24</v>
      </c>
    </row>
    <row r="10" spans="1:11" x14ac:dyDescent="0.2">
      <c r="B10" s="4" t="s">
        <v>16</v>
      </c>
    </row>
  </sheetData>
  <mergeCells count="13">
    <mergeCell ref="A8:H8"/>
    <mergeCell ref="B3:B4"/>
    <mergeCell ref="G3:H3"/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BA798-1021-4217-8120-5928FADB273B}">
  <dimension ref="A1:K8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4" bestFit="1" customWidth="1"/>
    <col min="2" max="2" width="22.42578125" style="4" customWidth="1"/>
    <col min="3" max="3" width="28.42578125" style="4" bestFit="1" customWidth="1"/>
    <col min="4" max="4" width="21.42578125" style="4" bestFit="1" customWidth="1"/>
    <col min="5" max="5" width="10.42578125" style="4" bestFit="1" customWidth="1"/>
    <col min="6" max="6" width="26.85546875" style="4" customWidth="1"/>
    <col min="7" max="7" width="11.85546875" style="5" customWidth="1"/>
    <col min="8" max="8" width="13" style="23" customWidth="1"/>
    <col min="9" max="9" width="10.42578125" style="5" bestFit="1" customWidth="1"/>
    <col min="10" max="10" width="9.42578125" style="5" bestFit="1" customWidth="1"/>
    <col min="11" max="11" width="19.140625" style="4" customWidth="1"/>
    <col min="12" max="16384" width="9.140625" style="3"/>
  </cols>
  <sheetData>
    <row r="1" spans="1:11" s="2" customFormat="1" ht="29.1" customHeight="1" x14ac:dyDescent="0.2">
      <c r="A1" s="33" t="s">
        <v>180</v>
      </c>
      <c r="B1" s="34"/>
      <c r="C1" s="35"/>
      <c r="D1" s="35"/>
      <c r="E1" s="35"/>
      <c r="F1" s="35"/>
      <c r="G1" s="35"/>
      <c r="H1" s="35"/>
      <c r="I1" s="35"/>
      <c r="J1" s="35"/>
      <c r="K1" s="36"/>
    </row>
    <row r="2" spans="1:11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179</v>
      </c>
      <c r="F3" s="31" t="s">
        <v>5</v>
      </c>
      <c r="G3" s="31" t="s">
        <v>178</v>
      </c>
      <c r="H3" s="31"/>
      <c r="I3" s="31" t="s">
        <v>54</v>
      </c>
      <c r="J3" s="31" t="s">
        <v>6</v>
      </c>
      <c r="K3" s="44" t="s">
        <v>7</v>
      </c>
    </row>
    <row r="4" spans="1:11" s="1" customFormat="1" ht="21" customHeight="1" thickBot="1" x14ac:dyDescent="0.25">
      <c r="A4" s="42"/>
      <c r="B4" s="49"/>
      <c r="C4" s="32"/>
      <c r="D4" s="32"/>
      <c r="E4" s="32"/>
      <c r="F4" s="32"/>
      <c r="G4" s="27" t="s">
        <v>84</v>
      </c>
      <c r="H4" s="20" t="s">
        <v>85</v>
      </c>
      <c r="I4" s="32"/>
      <c r="J4" s="32"/>
      <c r="K4" s="45"/>
    </row>
    <row r="5" spans="1:11" ht="15" x14ac:dyDescent="0.2">
      <c r="A5" s="50" t="s">
        <v>181</v>
      </c>
      <c r="B5" s="50"/>
      <c r="C5" s="51"/>
      <c r="D5" s="51"/>
      <c r="E5" s="51"/>
      <c r="F5" s="51"/>
      <c r="G5" s="51"/>
      <c r="H5" s="51"/>
    </row>
    <row r="6" spans="1:11" x14ac:dyDescent="0.2">
      <c r="A6" s="9" t="s">
        <v>9</v>
      </c>
      <c r="B6" s="8" t="s">
        <v>182</v>
      </c>
      <c r="C6" s="8" t="s">
        <v>183</v>
      </c>
      <c r="D6" s="8" t="s">
        <v>184</v>
      </c>
      <c r="E6" s="8" t="str">
        <f>"0,5748"</f>
        <v>0,5748</v>
      </c>
      <c r="F6" s="8" t="s">
        <v>45</v>
      </c>
      <c r="G6" s="9" t="s">
        <v>22</v>
      </c>
      <c r="H6" s="21">
        <v>60</v>
      </c>
      <c r="I6" s="9" t="str">
        <f>"7800,0"</f>
        <v>7800,0</v>
      </c>
      <c r="J6" s="9" t="str">
        <f>"4483,4401"</f>
        <v>4483,4401</v>
      </c>
      <c r="K6" s="8" t="s">
        <v>24</v>
      </c>
    </row>
    <row r="7" spans="1:11" x14ac:dyDescent="0.2">
      <c r="A7" s="11" t="s">
        <v>9</v>
      </c>
      <c r="B7" s="10" t="s">
        <v>182</v>
      </c>
      <c r="C7" s="10" t="s">
        <v>185</v>
      </c>
      <c r="D7" s="10" t="s">
        <v>184</v>
      </c>
      <c r="E7" s="10" t="str">
        <f>"0,5748"</f>
        <v>0,5748</v>
      </c>
      <c r="F7" s="10" t="s">
        <v>10</v>
      </c>
      <c r="G7" s="11" t="s">
        <v>22</v>
      </c>
      <c r="H7" s="22">
        <v>60</v>
      </c>
      <c r="I7" s="11" t="str">
        <f>"7800,0"</f>
        <v>7800,0</v>
      </c>
      <c r="J7" s="11" t="str">
        <f>"4608,9764"</f>
        <v>4608,9764</v>
      </c>
      <c r="K7" s="10" t="s">
        <v>24</v>
      </c>
    </row>
    <row r="8" spans="1:11" ht="15" customHeight="1" x14ac:dyDescent="0.2">
      <c r="B8" s="4" t="s">
        <v>16</v>
      </c>
    </row>
  </sheetData>
  <mergeCells count="12">
    <mergeCell ref="A5:H5"/>
    <mergeCell ref="B3:B4"/>
    <mergeCell ref="A1:K2"/>
    <mergeCell ref="A3:A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093D1-0A24-40EC-9628-D9EADED3C4AB}">
  <dimension ref="A1:K29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4" bestFit="1" customWidth="1"/>
    <col min="2" max="2" width="17.7109375" style="4" bestFit="1" customWidth="1"/>
    <col min="3" max="3" width="28.42578125" style="4" bestFit="1" customWidth="1"/>
    <col min="4" max="4" width="21.42578125" style="4" bestFit="1" customWidth="1"/>
    <col min="5" max="5" width="10.42578125" style="4" bestFit="1" customWidth="1"/>
    <col min="6" max="6" width="20.42578125" style="4" bestFit="1" customWidth="1"/>
    <col min="7" max="7" width="9" style="5" customWidth="1"/>
    <col min="8" max="8" width="10.42578125" style="23" customWidth="1"/>
    <col min="9" max="9" width="11.28515625" style="5" customWidth="1"/>
    <col min="10" max="10" width="9.42578125" style="5" bestFit="1" customWidth="1"/>
    <col min="11" max="11" width="19.7109375" style="4" customWidth="1"/>
    <col min="12" max="16384" width="9.140625" style="3"/>
  </cols>
  <sheetData>
    <row r="1" spans="1:11" s="2" customFormat="1" ht="29.1" customHeight="1" x14ac:dyDescent="0.2">
      <c r="A1" s="33" t="s">
        <v>98</v>
      </c>
      <c r="B1" s="34"/>
      <c r="C1" s="35"/>
      <c r="D1" s="35"/>
      <c r="E1" s="35"/>
      <c r="F1" s="35"/>
      <c r="G1" s="35"/>
      <c r="H1" s="35"/>
      <c r="I1" s="35"/>
      <c r="J1" s="35"/>
      <c r="K1" s="36"/>
    </row>
    <row r="2" spans="1:11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81</v>
      </c>
      <c r="F3" s="31" t="s">
        <v>5</v>
      </c>
      <c r="G3" s="31" t="s">
        <v>83</v>
      </c>
      <c r="H3" s="31"/>
      <c r="I3" s="31" t="s">
        <v>54</v>
      </c>
      <c r="J3" s="31" t="s">
        <v>6</v>
      </c>
      <c r="K3" s="44" t="s">
        <v>7</v>
      </c>
    </row>
    <row r="4" spans="1:11" s="1" customFormat="1" ht="21" customHeight="1" thickBot="1" x14ac:dyDescent="0.25">
      <c r="A4" s="42"/>
      <c r="B4" s="49"/>
      <c r="C4" s="32"/>
      <c r="D4" s="32"/>
      <c r="E4" s="32"/>
      <c r="F4" s="32"/>
      <c r="G4" s="27" t="s">
        <v>84</v>
      </c>
      <c r="H4" s="20" t="s">
        <v>85</v>
      </c>
      <c r="I4" s="32"/>
      <c r="J4" s="32"/>
      <c r="K4" s="45"/>
    </row>
    <row r="5" spans="1:11" ht="15" x14ac:dyDescent="0.2">
      <c r="A5" s="50" t="s">
        <v>23</v>
      </c>
      <c r="B5" s="50"/>
      <c r="C5" s="51"/>
      <c r="D5" s="51"/>
      <c r="E5" s="51"/>
      <c r="F5" s="51"/>
      <c r="G5" s="51"/>
      <c r="H5" s="51"/>
    </row>
    <row r="6" spans="1:11" x14ac:dyDescent="0.2">
      <c r="A6" s="7" t="s">
        <v>9</v>
      </c>
      <c r="B6" s="6" t="s">
        <v>99</v>
      </c>
      <c r="C6" s="6" t="s">
        <v>100</v>
      </c>
      <c r="D6" s="6" t="s">
        <v>101</v>
      </c>
      <c r="E6" s="6" t="str">
        <f>"0,6916"</f>
        <v>0,6916</v>
      </c>
      <c r="F6" s="6" t="s">
        <v>10</v>
      </c>
      <c r="G6" s="7" t="s">
        <v>33</v>
      </c>
      <c r="H6" s="25">
        <v>33</v>
      </c>
      <c r="I6" s="7" t="str">
        <f>"2475,0"</f>
        <v>2475,0</v>
      </c>
      <c r="J6" s="7" t="str">
        <f>"1711,7101"</f>
        <v>1711,7101</v>
      </c>
      <c r="K6" s="6" t="s">
        <v>102</v>
      </c>
    </row>
    <row r="7" spans="1:11" x14ac:dyDescent="0.2">
      <c r="B7" s="4" t="s">
        <v>16</v>
      </c>
    </row>
    <row r="8" spans="1:11" ht="15" x14ac:dyDescent="0.2">
      <c r="A8" s="46" t="s">
        <v>27</v>
      </c>
      <c r="B8" s="46"/>
      <c r="C8" s="47"/>
      <c r="D8" s="47"/>
      <c r="E8" s="47"/>
      <c r="F8" s="47"/>
      <c r="G8" s="47"/>
      <c r="H8" s="47"/>
    </row>
    <row r="9" spans="1:11" x14ac:dyDescent="0.2">
      <c r="A9" s="9" t="s">
        <v>9</v>
      </c>
      <c r="B9" s="8" t="s">
        <v>103</v>
      </c>
      <c r="C9" s="8" t="s">
        <v>104</v>
      </c>
      <c r="D9" s="8" t="s">
        <v>74</v>
      </c>
      <c r="E9" s="8" t="str">
        <f>"0,6157"</f>
        <v>0,6157</v>
      </c>
      <c r="F9" s="8" t="s">
        <v>45</v>
      </c>
      <c r="G9" s="9" t="s">
        <v>19</v>
      </c>
      <c r="H9" s="21">
        <v>38</v>
      </c>
      <c r="I9" s="9" t="str">
        <f>"3420,0"</f>
        <v>3420,0</v>
      </c>
      <c r="J9" s="9" t="str">
        <f>"2105,6940"</f>
        <v>2105,6940</v>
      </c>
      <c r="K9" s="8" t="s">
        <v>105</v>
      </c>
    </row>
    <row r="10" spans="1:11" x14ac:dyDescent="0.2">
      <c r="A10" s="13" t="s">
        <v>26</v>
      </c>
      <c r="B10" s="12" t="s">
        <v>106</v>
      </c>
      <c r="C10" s="12" t="s">
        <v>107</v>
      </c>
      <c r="D10" s="12" t="s">
        <v>108</v>
      </c>
      <c r="E10" s="12" t="str">
        <f>"0,6380"</f>
        <v>0,6380</v>
      </c>
      <c r="F10" s="12" t="s">
        <v>18</v>
      </c>
      <c r="G10" s="13" t="s">
        <v>30</v>
      </c>
      <c r="H10" s="26">
        <v>40</v>
      </c>
      <c r="I10" s="13" t="str">
        <f>"3400,0"</f>
        <v>3400,0</v>
      </c>
      <c r="J10" s="13" t="str">
        <f>"2169,1149"</f>
        <v>2169,1149</v>
      </c>
      <c r="K10" s="12" t="s">
        <v>49</v>
      </c>
    </row>
    <row r="11" spans="1:11" x14ac:dyDescent="0.2">
      <c r="A11" s="13" t="s">
        <v>50</v>
      </c>
      <c r="B11" s="12" t="s">
        <v>109</v>
      </c>
      <c r="C11" s="12" t="s">
        <v>110</v>
      </c>
      <c r="D11" s="12" t="s">
        <v>111</v>
      </c>
      <c r="E11" s="12" t="str">
        <f>"0,6421"</f>
        <v>0,6421</v>
      </c>
      <c r="F11" s="12" t="s">
        <v>112</v>
      </c>
      <c r="G11" s="13" t="s">
        <v>30</v>
      </c>
      <c r="H11" s="26">
        <v>35</v>
      </c>
      <c r="I11" s="13" t="str">
        <f>"2975,0"</f>
        <v>2975,0</v>
      </c>
      <c r="J11" s="13" t="str">
        <f>"1910,2474"</f>
        <v>1910,2474</v>
      </c>
      <c r="K11" s="12" t="s">
        <v>24</v>
      </c>
    </row>
    <row r="12" spans="1:11" x14ac:dyDescent="0.2">
      <c r="A12" s="13" t="s">
        <v>63</v>
      </c>
      <c r="B12" s="12" t="s">
        <v>113</v>
      </c>
      <c r="C12" s="12" t="s">
        <v>114</v>
      </c>
      <c r="D12" s="12" t="s">
        <v>115</v>
      </c>
      <c r="E12" s="12" t="str">
        <f>"0,6181"</f>
        <v>0,6181</v>
      </c>
      <c r="F12" s="12" t="s">
        <v>45</v>
      </c>
      <c r="G12" s="13" t="s">
        <v>19</v>
      </c>
      <c r="H12" s="26">
        <v>25</v>
      </c>
      <c r="I12" s="13" t="str">
        <f>"2250,0"</f>
        <v>2250,0</v>
      </c>
      <c r="J12" s="13" t="str">
        <f>"1390,7250"</f>
        <v>1390,7250</v>
      </c>
      <c r="K12" s="12" t="s">
        <v>24</v>
      </c>
    </row>
    <row r="13" spans="1:11" x14ac:dyDescent="0.2">
      <c r="A13" s="11" t="s">
        <v>9</v>
      </c>
      <c r="B13" s="10" t="s">
        <v>106</v>
      </c>
      <c r="C13" s="10" t="s">
        <v>116</v>
      </c>
      <c r="D13" s="10" t="s">
        <v>108</v>
      </c>
      <c r="E13" s="10" t="str">
        <f>"0,6380"</f>
        <v>0,6380</v>
      </c>
      <c r="F13" s="10" t="s">
        <v>18</v>
      </c>
      <c r="G13" s="11" t="s">
        <v>30</v>
      </c>
      <c r="H13" s="22">
        <v>40</v>
      </c>
      <c r="I13" s="11" t="str">
        <f>"3400,0"</f>
        <v>3400,0</v>
      </c>
      <c r="J13" s="11" t="str">
        <f>"2379,5191"</f>
        <v>2379,5191</v>
      </c>
      <c r="K13" s="10" t="s">
        <v>49</v>
      </c>
    </row>
    <row r="14" spans="1:11" x14ac:dyDescent="0.2">
      <c r="B14" s="4" t="s">
        <v>16</v>
      </c>
    </row>
    <row r="15" spans="1:11" ht="15" x14ac:dyDescent="0.2">
      <c r="A15" s="46" t="s">
        <v>31</v>
      </c>
      <c r="B15" s="46"/>
      <c r="C15" s="47"/>
      <c r="D15" s="47"/>
      <c r="E15" s="47"/>
      <c r="F15" s="47"/>
      <c r="G15" s="47"/>
      <c r="H15" s="47"/>
    </row>
    <row r="16" spans="1:11" x14ac:dyDescent="0.2">
      <c r="A16" s="7" t="s">
        <v>9</v>
      </c>
      <c r="B16" s="6" t="s">
        <v>117</v>
      </c>
      <c r="C16" s="6" t="s">
        <v>118</v>
      </c>
      <c r="D16" s="6" t="s">
        <v>119</v>
      </c>
      <c r="E16" s="6" t="str">
        <f>"0,5958"</f>
        <v>0,5958</v>
      </c>
      <c r="F16" s="6" t="s">
        <v>10</v>
      </c>
      <c r="G16" s="7" t="s">
        <v>14</v>
      </c>
      <c r="H16" s="25">
        <v>36</v>
      </c>
      <c r="I16" s="7" t="str">
        <f>"3420,0"</f>
        <v>3420,0</v>
      </c>
      <c r="J16" s="7" t="str">
        <f>"2037,8070"</f>
        <v>2037,8070</v>
      </c>
      <c r="K16" s="6" t="s">
        <v>120</v>
      </c>
    </row>
    <row r="17" spans="1:11" x14ac:dyDescent="0.2">
      <c r="B17" s="4" t="s">
        <v>16</v>
      </c>
    </row>
    <row r="18" spans="1:11" ht="15" x14ac:dyDescent="0.2">
      <c r="A18" s="46" t="s">
        <v>32</v>
      </c>
      <c r="B18" s="46"/>
      <c r="C18" s="47"/>
      <c r="D18" s="47"/>
      <c r="E18" s="47"/>
      <c r="F18" s="47"/>
      <c r="G18" s="47"/>
      <c r="H18" s="47"/>
    </row>
    <row r="19" spans="1:11" x14ac:dyDescent="0.2">
      <c r="A19" s="7" t="s">
        <v>9</v>
      </c>
      <c r="B19" s="6" t="s">
        <v>36</v>
      </c>
      <c r="C19" s="6" t="s">
        <v>37</v>
      </c>
      <c r="D19" s="6" t="s">
        <v>38</v>
      </c>
      <c r="E19" s="6" t="str">
        <f>"0,5631"</f>
        <v>0,5631</v>
      </c>
      <c r="F19" s="6" t="s">
        <v>45</v>
      </c>
      <c r="G19" s="7" t="s">
        <v>15</v>
      </c>
      <c r="H19" s="25">
        <v>32</v>
      </c>
      <c r="I19" s="7" t="str">
        <f>"3520,0"</f>
        <v>3520,0</v>
      </c>
      <c r="J19" s="7" t="str">
        <f>"1982,2880"</f>
        <v>1982,2880</v>
      </c>
      <c r="K19" s="6" t="s">
        <v>39</v>
      </c>
    </row>
    <row r="20" spans="1:11" x14ac:dyDescent="0.2">
      <c r="B20" s="4" t="s">
        <v>16</v>
      </c>
    </row>
    <row r="21" spans="1:11" x14ac:dyDescent="0.2">
      <c r="B21" s="4" t="s">
        <v>16</v>
      </c>
    </row>
    <row r="22" spans="1:11" x14ac:dyDescent="0.2">
      <c r="B22" s="4" t="s">
        <v>16</v>
      </c>
    </row>
    <row r="23" spans="1:11" ht="18" x14ac:dyDescent="0.2">
      <c r="B23" s="14" t="s">
        <v>40</v>
      </c>
      <c r="C23" s="14"/>
      <c r="F23" s="3"/>
    </row>
    <row r="24" spans="1:11" ht="15" x14ac:dyDescent="0.2">
      <c r="B24" s="28" t="s">
        <v>75</v>
      </c>
      <c r="C24" s="28"/>
      <c r="F24" s="3"/>
    </row>
    <row r="25" spans="1:11" ht="14.25" x14ac:dyDescent="0.2">
      <c r="B25" s="15"/>
      <c r="C25" s="15" t="s">
        <v>41</v>
      </c>
      <c r="F25" s="3"/>
    </row>
    <row r="26" spans="1:11" ht="15" x14ac:dyDescent="0.2">
      <c r="B26" s="16" t="s">
        <v>42</v>
      </c>
      <c r="C26" s="16" t="s">
        <v>43</v>
      </c>
      <c r="D26" s="16" t="s">
        <v>44</v>
      </c>
      <c r="E26" s="16" t="s">
        <v>121</v>
      </c>
      <c r="F26" s="16" t="s">
        <v>122</v>
      </c>
    </row>
    <row r="27" spans="1:11" x14ac:dyDescent="0.2">
      <c r="B27" s="4" t="s">
        <v>106</v>
      </c>
      <c r="C27" s="4" t="s">
        <v>41</v>
      </c>
      <c r="D27" s="5" t="s">
        <v>76</v>
      </c>
      <c r="E27" s="5" t="s">
        <v>123</v>
      </c>
      <c r="F27" s="5" t="s">
        <v>124</v>
      </c>
    </row>
    <row r="28" spans="1:11" x14ac:dyDescent="0.2">
      <c r="B28" s="4" t="s">
        <v>103</v>
      </c>
      <c r="C28" s="4" t="s">
        <v>41</v>
      </c>
      <c r="D28" s="5" t="s">
        <v>76</v>
      </c>
      <c r="E28" s="5" t="s">
        <v>125</v>
      </c>
      <c r="F28" s="5" t="s">
        <v>126</v>
      </c>
    </row>
    <row r="29" spans="1:11" x14ac:dyDescent="0.2">
      <c r="B29" s="4" t="s">
        <v>117</v>
      </c>
      <c r="C29" s="4" t="s">
        <v>41</v>
      </c>
      <c r="D29" s="5" t="s">
        <v>79</v>
      </c>
      <c r="E29" s="5" t="s">
        <v>125</v>
      </c>
      <c r="F29" s="5" t="s">
        <v>127</v>
      </c>
    </row>
  </sheetData>
  <mergeCells count="15">
    <mergeCell ref="A8:H8"/>
    <mergeCell ref="A15:H15"/>
    <mergeCell ref="A18:H18"/>
    <mergeCell ref="B3:B4"/>
    <mergeCell ref="G3:H3"/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85F22-FCE6-45F9-8F9C-E53D44AA806E}">
  <dimension ref="A1:K14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4" bestFit="1" customWidth="1"/>
    <col min="2" max="2" width="17.42578125" style="4" bestFit="1" customWidth="1"/>
    <col min="3" max="3" width="28.42578125" style="4" bestFit="1" customWidth="1"/>
    <col min="4" max="4" width="21.42578125" style="4" bestFit="1" customWidth="1"/>
    <col min="5" max="5" width="10.42578125" style="4" bestFit="1" customWidth="1"/>
    <col min="6" max="6" width="20.42578125" style="4" bestFit="1" customWidth="1"/>
    <col min="7" max="7" width="10.140625" style="5" customWidth="1"/>
    <col min="8" max="8" width="10.42578125" style="23" customWidth="1"/>
    <col min="9" max="9" width="7.85546875" style="5" bestFit="1" customWidth="1"/>
    <col min="10" max="10" width="9.42578125" style="5" bestFit="1" customWidth="1"/>
    <col min="11" max="11" width="15.42578125" style="4" bestFit="1" customWidth="1"/>
    <col min="12" max="16384" width="9.140625" style="3"/>
  </cols>
  <sheetData>
    <row r="1" spans="1:11" s="2" customFormat="1" ht="29.1" customHeight="1" x14ac:dyDescent="0.2">
      <c r="A1" s="33" t="s">
        <v>128</v>
      </c>
      <c r="B1" s="34"/>
      <c r="C1" s="35"/>
      <c r="D1" s="35"/>
      <c r="E1" s="35"/>
      <c r="F1" s="35"/>
      <c r="G1" s="35"/>
      <c r="H1" s="35"/>
      <c r="I1" s="35"/>
      <c r="J1" s="35"/>
      <c r="K1" s="36"/>
    </row>
    <row r="2" spans="1:11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81</v>
      </c>
      <c r="F3" s="31" t="s">
        <v>5</v>
      </c>
      <c r="G3" s="31" t="s">
        <v>83</v>
      </c>
      <c r="H3" s="31"/>
      <c r="I3" s="31" t="s">
        <v>54</v>
      </c>
      <c r="J3" s="31" t="s">
        <v>6</v>
      </c>
      <c r="K3" s="44" t="s">
        <v>7</v>
      </c>
    </row>
    <row r="4" spans="1:11" s="1" customFormat="1" ht="21" customHeight="1" thickBot="1" x14ac:dyDescent="0.25">
      <c r="A4" s="42"/>
      <c r="B4" s="49"/>
      <c r="C4" s="32"/>
      <c r="D4" s="32"/>
      <c r="E4" s="32"/>
      <c r="F4" s="32"/>
      <c r="G4" s="27" t="s">
        <v>84</v>
      </c>
      <c r="H4" s="20" t="s">
        <v>85</v>
      </c>
      <c r="I4" s="32"/>
      <c r="J4" s="32"/>
      <c r="K4" s="45"/>
    </row>
    <row r="5" spans="1:11" ht="15" x14ac:dyDescent="0.2">
      <c r="A5" s="50" t="s">
        <v>8</v>
      </c>
      <c r="B5" s="50"/>
      <c r="C5" s="51"/>
      <c r="D5" s="51"/>
      <c r="E5" s="51"/>
      <c r="F5" s="51"/>
      <c r="G5" s="51"/>
      <c r="H5" s="51"/>
    </row>
    <row r="6" spans="1:11" x14ac:dyDescent="0.2">
      <c r="A6" s="7" t="s">
        <v>9</v>
      </c>
      <c r="B6" s="6" t="s">
        <v>56</v>
      </c>
      <c r="C6" s="6" t="s">
        <v>57</v>
      </c>
      <c r="D6" s="6" t="s">
        <v>58</v>
      </c>
      <c r="E6" s="6" t="str">
        <f>"1,1126"</f>
        <v>1,1126</v>
      </c>
      <c r="F6" s="6" t="s">
        <v>45</v>
      </c>
      <c r="G6" s="7" t="s">
        <v>60</v>
      </c>
      <c r="H6" s="25">
        <v>57</v>
      </c>
      <c r="I6" s="7" t="str">
        <f>"1567,5"</f>
        <v>1567,5</v>
      </c>
      <c r="J6" s="7" t="str">
        <f>"1744,0005"</f>
        <v>1744,0005</v>
      </c>
      <c r="K6" s="6" t="s">
        <v>59</v>
      </c>
    </row>
    <row r="7" spans="1:11" x14ac:dyDescent="0.2">
      <c r="B7" s="4" t="s">
        <v>16</v>
      </c>
    </row>
    <row r="8" spans="1:11" ht="15" x14ac:dyDescent="0.2">
      <c r="A8" s="46" t="s">
        <v>34</v>
      </c>
      <c r="B8" s="46"/>
      <c r="C8" s="47"/>
      <c r="D8" s="47"/>
      <c r="E8" s="47"/>
      <c r="F8" s="47"/>
      <c r="G8" s="47"/>
      <c r="H8" s="47"/>
    </row>
    <row r="9" spans="1:11" x14ac:dyDescent="0.2">
      <c r="A9" s="7" t="s">
        <v>9</v>
      </c>
      <c r="B9" s="6" t="s">
        <v>129</v>
      </c>
      <c r="C9" s="6" t="s">
        <v>130</v>
      </c>
      <c r="D9" s="6" t="s">
        <v>131</v>
      </c>
      <c r="E9" s="6" t="str">
        <f>"0,9997"</f>
        <v>0,9997</v>
      </c>
      <c r="F9" s="6" t="s">
        <v>10</v>
      </c>
      <c r="G9" s="7" t="s">
        <v>47</v>
      </c>
      <c r="H9" s="25">
        <v>26</v>
      </c>
      <c r="I9" s="7" t="str">
        <f>"780,0"</f>
        <v>780,0</v>
      </c>
      <c r="J9" s="7" t="str">
        <f>"779,7660"</f>
        <v>779,7660</v>
      </c>
      <c r="K9" s="6" t="s">
        <v>24</v>
      </c>
    </row>
    <row r="10" spans="1:11" x14ac:dyDescent="0.2">
      <c r="B10" s="4" t="s">
        <v>16</v>
      </c>
    </row>
    <row r="11" spans="1:11" ht="15" x14ac:dyDescent="0.2">
      <c r="A11" s="46" t="s">
        <v>27</v>
      </c>
      <c r="B11" s="46"/>
      <c r="C11" s="47"/>
      <c r="D11" s="47"/>
      <c r="E11" s="47"/>
      <c r="F11" s="47"/>
      <c r="G11" s="47"/>
      <c r="H11" s="47"/>
    </row>
    <row r="12" spans="1:11" x14ac:dyDescent="0.2">
      <c r="A12" s="9" t="s">
        <v>9</v>
      </c>
      <c r="B12" s="8" t="s">
        <v>132</v>
      </c>
      <c r="C12" s="8" t="s">
        <v>133</v>
      </c>
      <c r="D12" s="8" t="s">
        <v>134</v>
      </c>
      <c r="E12" s="8" t="str">
        <f>"0,6191"</f>
        <v>0,6191</v>
      </c>
      <c r="F12" s="8" t="s">
        <v>18</v>
      </c>
      <c r="G12" s="9" t="s">
        <v>12</v>
      </c>
      <c r="H12" s="21">
        <v>43</v>
      </c>
      <c r="I12" s="9" t="str">
        <f>"1935,0"</f>
        <v>1935,0</v>
      </c>
      <c r="J12" s="9" t="str">
        <f>"1197,8618"</f>
        <v>1197,8618</v>
      </c>
      <c r="K12" s="8" t="s">
        <v>52</v>
      </c>
    </row>
    <row r="13" spans="1:11" x14ac:dyDescent="0.2">
      <c r="A13" s="11" t="s">
        <v>9</v>
      </c>
      <c r="B13" s="10" t="s">
        <v>135</v>
      </c>
      <c r="C13" s="10" t="s">
        <v>136</v>
      </c>
      <c r="D13" s="10" t="s">
        <v>137</v>
      </c>
      <c r="E13" s="10" t="str">
        <f>"0,6352"</f>
        <v>0,6352</v>
      </c>
      <c r="F13" s="10" t="s">
        <v>45</v>
      </c>
      <c r="G13" s="11" t="s">
        <v>61</v>
      </c>
      <c r="H13" s="22">
        <v>122</v>
      </c>
      <c r="I13" s="11" t="str">
        <f>"5185,0"</f>
        <v>5185,0</v>
      </c>
      <c r="J13" s="11" t="str">
        <f>"4775,4044"</f>
        <v>4775,4044</v>
      </c>
      <c r="K13" s="10" t="s">
        <v>24</v>
      </c>
    </row>
    <row r="14" spans="1:11" x14ac:dyDescent="0.2">
      <c r="B14" s="4" t="s">
        <v>16</v>
      </c>
    </row>
  </sheetData>
  <mergeCells count="14">
    <mergeCell ref="A8:H8"/>
    <mergeCell ref="A11:H11"/>
    <mergeCell ref="B3:B4"/>
    <mergeCell ref="G3:H3"/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E0511-DC29-4F0A-A3DA-DFD434FCC6B7}">
  <dimension ref="A1:K15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4" bestFit="1" customWidth="1"/>
    <col min="2" max="2" width="20.7109375" style="4" bestFit="1" customWidth="1"/>
    <col min="3" max="3" width="29" style="4" bestFit="1" customWidth="1"/>
    <col min="4" max="4" width="21.42578125" style="4" bestFit="1" customWidth="1"/>
    <col min="5" max="5" width="10.42578125" style="4" bestFit="1" customWidth="1"/>
    <col min="6" max="6" width="20.42578125" style="4" bestFit="1" customWidth="1"/>
    <col min="7" max="7" width="9.42578125" style="5" customWidth="1"/>
    <col min="8" max="8" width="10.42578125" style="23" customWidth="1"/>
    <col min="9" max="9" width="11.28515625" style="19" customWidth="1"/>
    <col min="10" max="10" width="9.42578125" style="5" bestFit="1" customWidth="1"/>
    <col min="11" max="11" width="17.85546875" style="4" customWidth="1"/>
    <col min="12" max="16384" width="9.140625" style="3"/>
  </cols>
  <sheetData>
    <row r="1" spans="1:11" s="2" customFormat="1" ht="29.1" customHeight="1" x14ac:dyDescent="0.2">
      <c r="A1" s="33" t="s">
        <v>138</v>
      </c>
      <c r="B1" s="34"/>
      <c r="C1" s="35"/>
      <c r="D1" s="35"/>
      <c r="E1" s="35"/>
      <c r="F1" s="35"/>
      <c r="G1" s="35"/>
      <c r="H1" s="35"/>
      <c r="I1" s="35"/>
      <c r="J1" s="35"/>
      <c r="K1" s="36"/>
    </row>
    <row r="2" spans="1:11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81</v>
      </c>
      <c r="F3" s="31" t="s">
        <v>5</v>
      </c>
      <c r="G3" s="31" t="s">
        <v>83</v>
      </c>
      <c r="H3" s="31"/>
      <c r="I3" s="29" t="s">
        <v>54</v>
      </c>
      <c r="J3" s="31" t="s">
        <v>6</v>
      </c>
      <c r="K3" s="44" t="s">
        <v>7</v>
      </c>
    </row>
    <row r="4" spans="1:11" s="1" customFormat="1" ht="21" customHeight="1" thickBot="1" x14ac:dyDescent="0.25">
      <c r="A4" s="42"/>
      <c r="B4" s="49"/>
      <c r="C4" s="32"/>
      <c r="D4" s="32"/>
      <c r="E4" s="32"/>
      <c r="F4" s="32"/>
      <c r="G4" s="27" t="s">
        <v>84</v>
      </c>
      <c r="H4" s="20" t="s">
        <v>85</v>
      </c>
      <c r="I4" s="30"/>
      <c r="J4" s="32"/>
      <c r="K4" s="45"/>
    </row>
    <row r="5" spans="1:11" ht="15" x14ac:dyDescent="0.2">
      <c r="A5" s="50" t="s">
        <v>23</v>
      </c>
      <c r="B5" s="50"/>
      <c r="C5" s="51"/>
      <c r="D5" s="51"/>
      <c r="E5" s="51"/>
      <c r="F5" s="51"/>
      <c r="G5" s="51"/>
      <c r="H5" s="51"/>
    </row>
    <row r="6" spans="1:11" x14ac:dyDescent="0.2">
      <c r="A6" s="9" t="s">
        <v>9</v>
      </c>
      <c r="B6" s="8" t="s">
        <v>139</v>
      </c>
      <c r="C6" s="8" t="s">
        <v>140</v>
      </c>
      <c r="D6" s="8" t="s">
        <v>35</v>
      </c>
      <c r="E6" s="8" t="str">
        <f>"0,8368"</f>
        <v>0,8368</v>
      </c>
      <c r="F6" s="8" t="s">
        <v>10</v>
      </c>
      <c r="G6" s="9" t="s">
        <v>51</v>
      </c>
      <c r="H6" s="21">
        <v>22</v>
      </c>
      <c r="I6" s="17" t="str">
        <f>"825,0"</f>
        <v>825,0</v>
      </c>
      <c r="J6" s="9" t="str">
        <f>"690,4012"</f>
        <v>690,4012</v>
      </c>
      <c r="K6" s="8" t="s">
        <v>105</v>
      </c>
    </row>
    <row r="7" spans="1:11" x14ac:dyDescent="0.2">
      <c r="A7" s="11" t="s">
        <v>28</v>
      </c>
      <c r="B7" s="10" t="s">
        <v>62</v>
      </c>
      <c r="C7" s="10" t="s">
        <v>77</v>
      </c>
      <c r="D7" s="10" t="s">
        <v>141</v>
      </c>
      <c r="E7" s="10" t="str">
        <f>"0,8921"</f>
        <v>0,8921</v>
      </c>
      <c r="F7" s="10" t="s">
        <v>45</v>
      </c>
      <c r="G7" s="11" t="s">
        <v>48</v>
      </c>
      <c r="H7" s="22">
        <v>0</v>
      </c>
      <c r="I7" s="18">
        <v>0</v>
      </c>
      <c r="J7" s="11" t="str">
        <f>"0,0000"</f>
        <v>0,0000</v>
      </c>
      <c r="K7" s="10" t="s">
        <v>78</v>
      </c>
    </row>
    <row r="8" spans="1:11" x14ac:dyDescent="0.2">
      <c r="B8" s="4" t="s">
        <v>16</v>
      </c>
    </row>
    <row r="9" spans="1:11" ht="15" x14ac:dyDescent="0.2">
      <c r="A9" s="46" t="s">
        <v>27</v>
      </c>
      <c r="B9" s="46"/>
      <c r="C9" s="47"/>
      <c r="D9" s="47"/>
      <c r="E9" s="47"/>
      <c r="F9" s="47"/>
      <c r="G9" s="47"/>
      <c r="H9" s="47"/>
    </row>
    <row r="10" spans="1:11" x14ac:dyDescent="0.2">
      <c r="A10" s="9" t="s">
        <v>9</v>
      </c>
      <c r="B10" s="8" t="s">
        <v>135</v>
      </c>
      <c r="C10" s="8" t="s">
        <v>136</v>
      </c>
      <c r="D10" s="8" t="s">
        <v>137</v>
      </c>
      <c r="E10" s="8" t="str">
        <f>"0,6352"</f>
        <v>0,6352</v>
      </c>
      <c r="F10" s="8" t="s">
        <v>45</v>
      </c>
      <c r="G10" s="9" t="s">
        <v>61</v>
      </c>
      <c r="H10" s="21">
        <v>122</v>
      </c>
      <c r="I10" s="17" t="str">
        <f>"5185,0"</f>
        <v>5185,0</v>
      </c>
      <c r="J10" s="9" t="str">
        <f>"4775,4044"</f>
        <v>4775,4044</v>
      </c>
      <c r="K10" s="8" t="s">
        <v>24</v>
      </c>
    </row>
    <row r="11" spans="1:11" x14ac:dyDescent="0.2">
      <c r="A11" s="11" t="s">
        <v>26</v>
      </c>
      <c r="B11" s="10" t="s">
        <v>142</v>
      </c>
      <c r="C11" s="10" t="s">
        <v>143</v>
      </c>
      <c r="D11" s="10" t="s">
        <v>144</v>
      </c>
      <c r="E11" s="10" t="str">
        <f>"0,6340"</f>
        <v>0,6340</v>
      </c>
      <c r="F11" s="10" t="s">
        <v>45</v>
      </c>
      <c r="G11" s="11" t="s">
        <v>61</v>
      </c>
      <c r="H11" s="22">
        <v>73</v>
      </c>
      <c r="I11" s="18" t="str">
        <f>"3102,5"</f>
        <v>3102,5</v>
      </c>
      <c r="J11" s="11" t="str">
        <f>"2795,0857"</f>
        <v>2795,0857</v>
      </c>
      <c r="K11" s="10" t="s">
        <v>102</v>
      </c>
    </row>
    <row r="12" spans="1:11" x14ac:dyDescent="0.2">
      <c r="B12" s="4" t="s">
        <v>16</v>
      </c>
    </row>
    <row r="13" spans="1:11" ht="15" x14ac:dyDescent="0.2">
      <c r="A13" s="46" t="s">
        <v>31</v>
      </c>
      <c r="B13" s="46"/>
      <c r="C13" s="47"/>
      <c r="D13" s="47"/>
      <c r="E13" s="47"/>
      <c r="F13" s="47"/>
      <c r="G13" s="47"/>
      <c r="H13" s="47"/>
    </row>
    <row r="14" spans="1:11" x14ac:dyDescent="0.2">
      <c r="A14" s="7" t="s">
        <v>9</v>
      </c>
      <c r="B14" s="6" t="s">
        <v>145</v>
      </c>
      <c r="C14" s="6" t="s">
        <v>146</v>
      </c>
      <c r="D14" s="6" t="s">
        <v>147</v>
      </c>
      <c r="E14" s="6" t="str">
        <f>"0,6019"</f>
        <v>0,6019</v>
      </c>
      <c r="F14" s="6" t="s">
        <v>148</v>
      </c>
      <c r="G14" s="7" t="s">
        <v>13</v>
      </c>
      <c r="H14" s="25">
        <v>61</v>
      </c>
      <c r="I14" s="24" t="str">
        <f>"2897,5"</f>
        <v>2897,5</v>
      </c>
      <c r="J14" s="7" t="str">
        <f>"2478,4373"</f>
        <v>2478,4373</v>
      </c>
      <c r="K14" s="6" t="s">
        <v>24</v>
      </c>
    </row>
    <row r="15" spans="1:11" x14ac:dyDescent="0.2">
      <c r="B15" s="4" t="s">
        <v>16</v>
      </c>
    </row>
  </sheetData>
  <mergeCells count="14">
    <mergeCell ref="A9:H9"/>
    <mergeCell ref="A13:H13"/>
    <mergeCell ref="B3:B4"/>
    <mergeCell ref="G3:H3"/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EFE3-ED30-4FFF-901B-62CBDF7E8A89}">
  <dimension ref="A1:K7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4" bestFit="1" customWidth="1"/>
    <col min="2" max="2" width="22.85546875" style="4" customWidth="1"/>
    <col min="3" max="3" width="26.28515625" style="4" bestFit="1" customWidth="1"/>
    <col min="4" max="4" width="21.42578125" style="4" bestFit="1" customWidth="1"/>
    <col min="5" max="5" width="10.42578125" style="4" bestFit="1" customWidth="1"/>
    <col min="6" max="6" width="20.42578125" style="4" bestFit="1" customWidth="1"/>
    <col min="7" max="7" width="11" style="5" customWidth="1"/>
    <col min="8" max="8" width="18.85546875" style="5" customWidth="1"/>
    <col min="9" max="9" width="10.42578125" style="5" bestFit="1" customWidth="1"/>
    <col min="10" max="10" width="8.42578125" style="5" bestFit="1" customWidth="1"/>
    <col min="11" max="11" width="18.42578125" style="4" customWidth="1"/>
    <col min="12" max="16384" width="9.140625" style="3"/>
  </cols>
  <sheetData>
    <row r="1" spans="1:11" s="2" customFormat="1" ht="29.1" customHeight="1" x14ac:dyDescent="0.2">
      <c r="A1" s="33" t="s">
        <v>151</v>
      </c>
      <c r="B1" s="34"/>
      <c r="C1" s="35"/>
      <c r="D1" s="35"/>
      <c r="E1" s="35"/>
      <c r="F1" s="35"/>
      <c r="G1" s="35"/>
      <c r="H1" s="35"/>
      <c r="I1" s="35"/>
      <c r="J1" s="35"/>
      <c r="K1" s="36"/>
    </row>
    <row r="2" spans="1:11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4</v>
      </c>
      <c r="F3" s="31" t="s">
        <v>5</v>
      </c>
      <c r="G3" s="31" t="s">
        <v>152</v>
      </c>
      <c r="H3" s="31"/>
      <c r="I3" s="31" t="s">
        <v>54</v>
      </c>
      <c r="J3" s="31" t="s">
        <v>6</v>
      </c>
      <c r="K3" s="44" t="s">
        <v>7</v>
      </c>
    </row>
    <row r="4" spans="1:11" s="1" customFormat="1" ht="21" customHeight="1" thickBot="1" x14ac:dyDescent="0.25">
      <c r="A4" s="42"/>
      <c r="B4" s="49"/>
      <c r="C4" s="32"/>
      <c r="D4" s="32"/>
      <c r="E4" s="32"/>
      <c r="F4" s="32"/>
      <c r="G4" s="27" t="s">
        <v>84</v>
      </c>
      <c r="H4" s="27" t="s">
        <v>85</v>
      </c>
      <c r="I4" s="32"/>
      <c r="J4" s="32"/>
      <c r="K4" s="45"/>
    </row>
    <row r="5" spans="1:11" ht="15" x14ac:dyDescent="0.2">
      <c r="A5" s="50" t="s">
        <v>27</v>
      </c>
      <c r="B5" s="50"/>
      <c r="C5" s="51"/>
      <c r="D5" s="51"/>
      <c r="E5" s="51"/>
      <c r="F5" s="51"/>
      <c r="G5" s="51"/>
      <c r="H5" s="51"/>
    </row>
    <row r="6" spans="1:11" x14ac:dyDescent="0.2">
      <c r="A6" s="7" t="s">
        <v>9</v>
      </c>
      <c r="B6" s="6" t="s">
        <v>153</v>
      </c>
      <c r="C6" s="6" t="s">
        <v>154</v>
      </c>
      <c r="D6" s="6" t="s">
        <v>29</v>
      </c>
      <c r="E6" s="6" t="str">
        <f>"1,0158"</f>
        <v>1,0158</v>
      </c>
      <c r="F6" s="6" t="s">
        <v>10</v>
      </c>
      <c r="G6" s="7" t="s">
        <v>46</v>
      </c>
      <c r="H6" s="25">
        <v>13</v>
      </c>
      <c r="I6" s="7" t="str">
        <f>"325,0"</f>
        <v>325,0</v>
      </c>
      <c r="J6" s="7" t="str">
        <f>"330,1350"</f>
        <v>330,1350</v>
      </c>
      <c r="K6" s="6" t="s">
        <v>24</v>
      </c>
    </row>
    <row r="7" spans="1:11" x14ac:dyDescent="0.2">
      <c r="B7" s="4" t="s">
        <v>16</v>
      </c>
    </row>
  </sheetData>
  <mergeCells count="12">
    <mergeCell ref="A5:H5"/>
    <mergeCell ref="B3:B4"/>
    <mergeCell ref="A1:K2"/>
    <mergeCell ref="A3:A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C39B0-DD6D-49ED-94ED-9823B8319D77}">
  <dimension ref="A1:K10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4" bestFit="1" customWidth="1"/>
    <col min="2" max="2" width="18.85546875" style="4" bestFit="1" customWidth="1"/>
    <col min="3" max="3" width="26.28515625" style="4" bestFit="1" customWidth="1"/>
    <col min="4" max="4" width="21.42578125" style="4" bestFit="1" customWidth="1"/>
    <col min="5" max="5" width="10.42578125" style="4" bestFit="1" customWidth="1"/>
    <col min="6" max="6" width="20.42578125" style="4" bestFit="1" customWidth="1"/>
    <col min="7" max="7" width="14" style="5" customWidth="1"/>
    <col min="8" max="8" width="14.7109375" style="23" customWidth="1"/>
    <col min="9" max="9" width="10.42578125" style="5" customWidth="1"/>
    <col min="10" max="10" width="8.42578125" style="5" bestFit="1" customWidth="1"/>
    <col min="11" max="11" width="18.28515625" style="4" customWidth="1"/>
    <col min="12" max="16384" width="9.140625" style="3"/>
  </cols>
  <sheetData>
    <row r="1" spans="1:11" s="2" customFormat="1" ht="29.1" customHeight="1" x14ac:dyDescent="0.2">
      <c r="A1" s="33" t="s">
        <v>155</v>
      </c>
      <c r="B1" s="34"/>
      <c r="C1" s="35"/>
      <c r="D1" s="35"/>
      <c r="E1" s="35"/>
      <c r="F1" s="35"/>
      <c r="G1" s="35"/>
      <c r="H1" s="35"/>
      <c r="I1" s="35"/>
      <c r="J1" s="35"/>
      <c r="K1" s="36"/>
    </row>
    <row r="2" spans="1:11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4</v>
      </c>
      <c r="F3" s="31" t="s">
        <v>5</v>
      </c>
      <c r="G3" s="31" t="s">
        <v>156</v>
      </c>
      <c r="H3" s="31"/>
      <c r="I3" s="31" t="s">
        <v>54</v>
      </c>
      <c r="J3" s="31" t="s">
        <v>6</v>
      </c>
      <c r="K3" s="44" t="s">
        <v>7</v>
      </c>
    </row>
    <row r="4" spans="1:11" s="1" customFormat="1" ht="21" customHeight="1" thickBot="1" x14ac:dyDescent="0.25">
      <c r="A4" s="42"/>
      <c r="B4" s="49"/>
      <c r="C4" s="32"/>
      <c r="D4" s="32"/>
      <c r="E4" s="32"/>
      <c r="F4" s="32"/>
      <c r="G4" s="27" t="s">
        <v>84</v>
      </c>
      <c r="H4" s="20" t="s">
        <v>85</v>
      </c>
      <c r="I4" s="32"/>
      <c r="J4" s="32"/>
      <c r="K4" s="45"/>
    </row>
    <row r="5" spans="1:11" ht="15" x14ac:dyDescent="0.2">
      <c r="A5" s="50" t="s">
        <v>17</v>
      </c>
      <c r="B5" s="50"/>
      <c r="C5" s="51"/>
      <c r="D5" s="51"/>
      <c r="E5" s="51"/>
      <c r="F5" s="51"/>
      <c r="G5" s="51"/>
      <c r="H5" s="51"/>
    </row>
    <row r="6" spans="1:11" x14ac:dyDescent="0.2">
      <c r="A6" s="7" t="s">
        <v>9</v>
      </c>
      <c r="B6" s="6" t="s">
        <v>157</v>
      </c>
      <c r="C6" s="6" t="s">
        <v>158</v>
      </c>
      <c r="D6" s="6" t="s">
        <v>159</v>
      </c>
      <c r="E6" s="6" t="str">
        <f>"1,7110"</f>
        <v>1,7110</v>
      </c>
      <c r="F6" s="6" t="s">
        <v>10</v>
      </c>
      <c r="G6" s="7" t="s">
        <v>160</v>
      </c>
      <c r="H6" s="25">
        <v>16</v>
      </c>
      <c r="I6" s="7" t="str">
        <f>"240,0"</f>
        <v>240,0</v>
      </c>
      <c r="J6" s="7" t="str">
        <f>"410,6400"</f>
        <v>410,6400</v>
      </c>
      <c r="K6" s="6" t="s">
        <v>161</v>
      </c>
    </row>
    <row r="7" spans="1:11" x14ac:dyDescent="0.2">
      <c r="B7" s="4" t="s">
        <v>16</v>
      </c>
    </row>
    <row r="8" spans="1:11" ht="15" x14ac:dyDescent="0.2">
      <c r="A8" s="46" t="s">
        <v>162</v>
      </c>
      <c r="B8" s="46"/>
      <c r="C8" s="47"/>
      <c r="D8" s="47"/>
      <c r="E8" s="47"/>
      <c r="F8" s="47"/>
      <c r="G8" s="47"/>
      <c r="H8" s="47"/>
    </row>
    <row r="9" spans="1:11" x14ac:dyDescent="0.2">
      <c r="A9" s="7" t="s">
        <v>9</v>
      </c>
      <c r="B9" s="6" t="s">
        <v>163</v>
      </c>
      <c r="C9" s="6" t="s">
        <v>164</v>
      </c>
      <c r="D9" s="6" t="s">
        <v>165</v>
      </c>
      <c r="E9" s="6" t="str">
        <f>"0,9126"</f>
        <v>0,9126</v>
      </c>
      <c r="F9" s="6" t="s">
        <v>45</v>
      </c>
      <c r="G9" s="7" t="s">
        <v>160</v>
      </c>
      <c r="H9" s="25">
        <v>22</v>
      </c>
      <c r="I9" s="7" t="str">
        <f>"330,0"</f>
        <v>330,0</v>
      </c>
      <c r="J9" s="7" t="str">
        <f>"301,1580"</f>
        <v>301,1580</v>
      </c>
      <c r="K9" s="6" t="s">
        <v>24</v>
      </c>
    </row>
    <row r="10" spans="1:11" x14ac:dyDescent="0.2">
      <c r="B10" s="4" t="s">
        <v>16</v>
      </c>
    </row>
  </sheetData>
  <mergeCells count="13">
    <mergeCell ref="A8:H8"/>
    <mergeCell ref="B3:B4"/>
    <mergeCell ref="G3:H3"/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4856B-1854-4F45-914D-07DED534C1F1}">
  <dimension ref="A1:K7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4" bestFit="1" customWidth="1"/>
    <col min="2" max="2" width="15.7109375" style="4" bestFit="1" customWidth="1"/>
    <col min="3" max="3" width="27.7109375" style="4" bestFit="1" customWidth="1"/>
    <col min="4" max="4" width="21.42578125" style="4" bestFit="1" customWidth="1"/>
    <col min="5" max="5" width="10.42578125" style="4" bestFit="1" customWidth="1"/>
    <col min="6" max="6" width="15.42578125" style="4" bestFit="1" customWidth="1"/>
    <col min="7" max="7" width="16" style="5" customWidth="1"/>
    <col min="8" max="8" width="17.42578125" style="5" customWidth="1"/>
    <col min="9" max="9" width="10.42578125" style="5" bestFit="1" customWidth="1"/>
    <col min="10" max="10" width="8.42578125" style="5" bestFit="1" customWidth="1"/>
    <col min="11" max="11" width="19" style="4" customWidth="1"/>
    <col min="12" max="16384" width="9.140625" style="3"/>
  </cols>
  <sheetData>
    <row r="1" spans="1:11" s="2" customFormat="1" ht="29.1" customHeight="1" x14ac:dyDescent="0.2">
      <c r="A1" s="33" t="s">
        <v>166</v>
      </c>
      <c r="B1" s="34"/>
      <c r="C1" s="35"/>
      <c r="D1" s="35"/>
      <c r="E1" s="35"/>
      <c r="F1" s="35"/>
      <c r="G1" s="35"/>
      <c r="H1" s="35"/>
      <c r="I1" s="35"/>
      <c r="J1" s="35"/>
      <c r="K1" s="36"/>
    </row>
    <row r="2" spans="1:11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4</v>
      </c>
      <c r="F3" s="31" t="s">
        <v>5</v>
      </c>
      <c r="G3" s="31" t="s">
        <v>152</v>
      </c>
      <c r="H3" s="31"/>
      <c r="I3" s="31" t="s">
        <v>54</v>
      </c>
      <c r="J3" s="31" t="s">
        <v>6</v>
      </c>
      <c r="K3" s="44" t="s">
        <v>7</v>
      </c>
    </row>
    <row r="4" spans="1:11" s="1" customFormat="1" ht="21" customHeight="1" thickBot="1" x14ac:dyDescent="0.25">
      <c r="A4" s="42"/>
      <c r="B4" s="49"/>
      <c r="C4" s="32"/>
      <c r="D4" s="32"/>
      <c r="E4" s="32"/>
      <c r="F4" s="32"/>
      <c r="G4" s="27" t="s">
        <v>84</v>
      </c>
      <c r="H4" s="27" t="s">
        <v>85</v>
      </c>
      <c r="I4" s="32"/>
      <c r="J4" s="32"/>
      <c r="K4" s="45"/>
    </row>
    <row r="5" spans="1:11" ht="15" x14ac:dyDescent="0.2">
      <c r="A5" s="50" t="s">
        <v>23</v>
      </c>
      <c r="B5" s="50"/>
      <c r="C5" s="51"/>
      <c r="D5" s="51"/>
      <c r="E5" s="51"/>
      <c r="F5" s="51"/>
      <c r="G5" s="51"/>
      <c r="H5" s="51"/>
    </row>
    <row r="6" spans="1:11" x14ac:dyDescent="0.2">
      <c r="A6" s="7" t="s">
        <v>9</v>
      </c>
      <c r="B6" s="6" t="s">
        <v>167</v>
      </c>
      <c r="C6" s="6" t="s">
        <v>168</v>
      </c>
      <c r="D6" s="6" t="s">
        <v>55</v>
      </c>
      <c r="E6" s="6" t="str">
        <f>"1,1796"</f>
        <v>1,1796</v>
      </c>
      <c r="F6" s="6" t="s">
        <v>169</v>
      </c>
      <c r="G6" s="7" t="s">
        <v>160</v>
      </c>
      <c r="H6" s="25">
        <v>12</v>
      </c>
      <c r="I6" s="7" t="str">
        <f>"180,0"</f>
        <v>180,0</v>
      </c>
      <c r="J6" s="7" t="str">
        <f>"212,3280"</f>
        <v>212,3280</v>
      </c>
      <c r="K6" s="6" t="s">
        <v>24</v>
      </c>
    </row>
    <row r="7" spans="1:11" x14ac:dyDescent="0.2">
      <c r="B7" s="4" t="s">
        <v>16</v>
      </c>
    </row>
  </sheetData>
  <mergeCells count="12">
    <mergeCell ref="A5:H5"/>
    <mergeCell ref="B3:B4"/>
    <mergeCell ref="A1:K2"/>
    <mergeCell ref="A3:A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9C48F-6943-4F9A-947C-14AD192247B6}">
  <dimension ref="A1:K10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4" bestFit="1" customWidth="1"/>
    <col min="2" max="2" width="18.85546875" style="4" bestFit="1" customWidth="1"/>
    <col min="3" max="3" width="26.28515625" style="4" bestFit="1" customWidth="1"/>
    <col min="4" max="4" width="21.42578125" style="4" bestFit="1" customWidth="1"/>
    <col min="5" max="5" width="10.42578125" style="4" bestFit="1" customWidth="1"/>
    <col min="6" max="6" width="20.42578125" style="4" bestFit="1" customWidth="1"/>
    <col min="7" max="7" width="15.85546875" style="5" customWidth="1"/>
    <col min="8" max="8" width="17" style="23" customWidth="1"/>
    <col min="9" max="9" width="10.42578125" style="5" bestFit="1" customWidth="1"/>
    <col min="10" max="10" width="8.42578125" style="5" bestFit="1" customWidth="1"/>
    <col min="11" max="11" width="19" style="4" customWidth="1"/>
    <col min="12" max="16384" width="9.140625" style="3"/>
  </cols>
  <sheetData>
    <row r="1" spans="1:11" s="2" customFormat="1" ht="29.1" customHeight="1" x14ac:dyDescent="0.2">
      <c r="A1" s="33" t="s">
        <v>170</v>
      </c>
      <c r="B1" s="34"/>
      <c r="C1" s="35"/>
      <c r="D1" s="35"/>
      <c r="E1" s="35"/>
      <c r="F1" s="35"/>
      <c r="G1" s="35"/>
      <c r="H1" s="35"/>
      <c r="I1" s="35"/>
      <c r="J1" s="35"/>
      <c r="K1" s="36"/>
    </row>
    <row r="2" spans="1:11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4</v>
      </c>
      <c r="F3" s="31" t="s">
        <v>5</v>
      </c>
      <c r="G3" s="31" t="s">
        <v>152</v>
      </c>
      <c r="H3" s="31"/>
      <c r="I3" s="31" t="s">
        <v>54</v>
      </c>
      <c r="J3" s="31" t="s">
        <v>6</v>
      </c>
      <c r="K3" s="44" t="s">
        <v>7</v>
      </c>
    </row>
    <row r="4" spans="1:11" s="1" customFormat="1" ht="21" customHeight="1" thickBot="1" x14ac:dyDescent="0.25">
      <c r="A4" s="42"/>
      <c r="B4" s="49"/>
      <c r="C4" s="32"/>
      <c r="D4" s="32"/>
      <c r="E4" s="32"/>
      <c r="F4" s="32"/>
      <c r="G4" s="27" t="s">
        <v>84</v>
      </c>
      <c r="H4" s="20" t="s">
        <v>85</v>
      </c>
      <c r="I4" s="32"/>
      <c r="J4" s="32"/>
      <c r="K4" s="45"/>
    </row>
    <row r="5" spans="1:11" ht="15" x14ac:dyDescent="0.2">
      <c r="A5" s="50" t="s">
        <v>17</v>
      </c>
      <c r="B5" s="50"/>
      <c r="C5" s="51"/>
      <c r="D5" s="51"/>
      <c r="E5" s="51"/>
      <c r="F5" s="51"/>
      <c r="G5" s="51"/>
      <c r="H5" s="51"/>
    </row>
    <row r="6" spans="1:11" x14ac:dyDescent="0.2">
      <c r="A6" s="7" t="s">
        <v>9</v>
      </c>
      <c r="B6" s="6" t="s">
        <v>157</v>
      </c>
      <c r="C6" s="6" t="s">
        <v>158</v>
      </c>
      <c r="D6" s="6" t="s">
        <v>159</v>
      </c>
      <c r="E6" s="6" t="str">
        <f>"1,7110"</f>
        <v>1,7110</v>
      </c>
      <c r="F6" s="6" t="s">
        <v>10</v>
      </c>
      <c r="G6" s="7" t="s">
        <v>171</v>
      </c>
      <c r="H6" s="25">
        <v>10</v>
      </c>
      <c r="I6" s="7" t="str">
        <f>"100,0"</f>
        <v>100,0</v>
      </c>
      <c r="J6" s="7" t="str">
        <f>"171,1000"</f>
        <v>171,1000</v>
      </c>
      <c r="K6" s="6" t="s">
        <v>161</v>
      </c>
    </row>
    <row r="7" spans="1:11" x14ac:dyDescent="0.2">
      <c r="B7" s="4" t="s">
        <v>16</v>
      </c>
    </row>
    <row r="8" spans="1:11" ht="15" x14ac:dyDescent="0.2">
      <c r="A8" s="46" t="s">
        <v>162</v>
      </c>
      <c r="B8" s="46"/>
      <c r="C8" s="47"/>
      <c r="D8" s="47"/>
      <c r="E8" s="47"/>
      <c r="F8" s="47"/>
      <c r="G8" s="47"/>
      <c r="H8" s="47"/>
    </row>
    <row r="9" spans="1:11" x14ac:dyDescent="0.2">
      <c r="A9" s="7" t="s">
        <v>9</v>
      </c>
      <c r="B9" s="6" t="s">
        <v>163</v>
      </c>
      <c r="C9" s="6" t="s">
        <v>164</v>
      </c>
      <c r="D9" s="6" t="s">
        <v>165</v>
      </c>
      <c r="E9" s="6" t="str">
        <f>"0,9126"</f>
        <v>0,9126</v>
      </c>
      <c r="F9" s="6" t="s">
        <v>45</v>
      </c>
      <c r="G9" s="7" t="s">
        <v>171</v>
      </c>
      <c r="H9" s="25">
        <v>15</v>
      </c>
      <c r="I9" s="7" t="str">
        <f>"150,0"</f>
        <v>150,0</v>
      </c>
      <c r="J9" s="7" t="str">
        <f>"136,8900"</f>
        <v>136,8900</v>
      </c>
      <c r="K9" s="6" t="s">
        <v>24</v>
      </c>
    </row>
    <row r="10" spans="1:11" x14ac:dyDescent="0.2">
      <c r="B10" s="4" t="s">
        <v>16</v>
      </c>
    </row>
  </sheetData>
  <mergeCells count="13">
    <mergeCell ref="A8:H8"/>
    <mergeCell ref="B3:B4"/>
    <mergeCell ref="G3:H3"/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C5BF-09B8-4209-BAC3-7AA2696E3FF8}">
  <dimension ref="A1:K7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4" bestFit="1" customWidth="1"/>
    <col min="2" max="2" width="15.42578125" style="4" customWidth="1"/>
    <col min="3" max="3" width="26.28515625" style="4" bestFit="1" customWidth="1"/>
    <col min="4" max="4" width="21.42578125" style="4" bestFit="1" customWidth="1"/>
    <col min="5" max="5" width="10.42578125" style="4" bestFit="1" customWidth="1"/>
    <col min="6" max="6" width="20.42578125" style="4" bestFit="1" customWidth="1"/>
    <col min="7" max="7" width="12.42578125" style="5" customWidth="1"/>
    <col min="8" max="8" width="16.85546875" style="5" customWidth="1"/>
    <col min="9" max="9" width="10.42578125" style="5" bestFit="1" customWidth="1"/>
    <col min="10" max="10" width="8.42578125" style="5" bestFit="1" customWidth="1"/>
    <col min="11" max="11" width="19.140625" style="4" customWidth="1"/>
    <col min="12" max="16384" width="9.140625" style="3"/>
  </cols>
  <sheetData>
    <row r="1" spans="1:11" s="2" customFormat="1" ht="29.1" customHeight="1" x14ac:dyDescent="0.2">
      <c r="A1" s="33" t="s">
        <v>172</v>
      </c>
      <c r="B1" s="34"/>
      <c r="C1" s="35"/>
      <c r="D1" s="35"/>
      <c r="E1" s="35"/>
      <c r="F1" s="35"/>
      <c r="G1" s="35"/>
      <c r="H1" s="35"/>
      <c r="I1" s="35"/>
      <c r="J1" s="35"/>
      <c r="K1" s="36"/>
    </row>
    <row r="2" spans="1:11" s="2" customFormat="1" ht="62.1" customHeight="1" thickBot="1" x14ac:dyDescent="0.25">
      <c r="A2" s="37"/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8" t="s">
        <v>1</v>
      </c>
      <c r="C3" s="43" t="s">
        <v>2</v>
      </c>
      <c r="D3" s="43" t="s">
        <v>3</v>
      </c>
      <c r="E3" s="31" t="s">
        <v>4</v>
      </c>
      <c r="F3" s="31" t="s">
        <v>5</v>
      </c>
      <c r="G3" s="31" t="s">
        <v>156</v>
      </c>
      <c r="H3" s="31"/>
      <c r="I3" s="31" t="s">
        <v>54</v>
      </c>
      <c r="J3" s="31" t="s">
        <v>6</v>
      </c>
      <c r="K3" s="44" t="s">
        <v>7</v>
      </c>
    </row>
    <row r="4" spans="1:11" s="1" customFormat="1" ht="21" customHeight="1" thickBot="1" x14ac:dyDescent="0.25">
      <c r="A4" s="42"/>
      <c r="B4" s="49"/>
      <c r="C4" s="32"/>
      <c r="D4" s="32"/>
      <c r="E4" s="32"/>
      <c r="F4" s="32"/>
      <c r="G4" s="27" t="s">
        <v>84</v>
      </c>
      <c r="H4" s="27" t="s">
        <v>85</v>
      </c>
      <c r="I4" s="32"/>
      <c r="J4" s="32"/>
      <c r="K4" s="45"/>
    </row>
    <row r="5" spans="1:11" ht="15" x14ac:dyDescent="0.2">
      <c r="A5" s="50" t="s">
        <v>27</v>
      </c>
      <c r="B5" s="50"/>
      <c r="C5" s="51"/>
      <c r="D5" s="51"/>
      <c r="E5" s="51"/>
      <c r="F5" s="51"/>
      <c r="G5" s="51"/>
      <c r="H5" s="51"/>
    </row>
    <row r="6" spans="1:11" x14ac:dyDescent="0.2">
      <c r="A6" s="7" t="s">
        <v>9</v>
      </c>
      <c r="B6" s="6" t="s">
        <v>153</v>
      </c>
      <c r="C6" s="6" t="s">
        <v>154</v>
      </c>
      <c r="D6" s="6" t="s">
        <v>29</v>
      </c>
      <c r="E6" s="6" t="str">
        <f>"1,0158"</f>
        <v>1,0158</v>
      </c>
      <c r="F6" s="6" t="s">
        <v>10</v>
      </c>
      <c r="G6" s="7" t="s">
        <v>20</v>
      </c>
      <c r="H6" s="25">
        <v>9</v>
      </c>
      <c r="I6" s="7" t="str">
        <f>"450,0"</f>
        <v>450,0</v>
      </c>
      <c r="J6" s="7" t="str">
        <f>"457,1100"</f>
        <v>457,1100</v>
      </c>
      <c r="K6" s="6" t="s">
        <v>24</v>
      </c>
    </row>
    <row r="7" spans="1:11" x14ac:dyDescent="0.2">
      <c r="B7" s="4" t="s">
        <v>16</v>
      </c>
    </row>
  </sheetData>
  <mergeCells count="12">
    <mergeCell ref="A5:H5"/>
    <mergeCell ref="B3:B4"/>
    <mergeCell ref="A1:K2"/>
    <mergeCell ref="A3:A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СПР Народный 1 вес ДК</vt:lpstr>
      <vt:lpstr>СПР Народный 1 вес</vt:lpstr>
      <vt:lpstr>СПР Народный 1_2 веса ДК</vt:lpstr>
      <vt:lpstr>СПР Народный 1_2 веса</vt:lpstr>
      <vt:lpstr>WSF Подтягивания мн.повт. 25кг</vt:lpstr>
      <vt:lpstr>WSF Отжимания мн.повт. 15кг</vt:lpstr>
      <vt:lpstr>WSF Подтягивания мн.повт. 15кг</vt:lpstr>
      <vt:lpstr>WSF Подтягивания мн.повт. 10кг</vt:lpstr>
      <vt:lpstr>WSF Отжимания мн.повт. 50кг</vt:lpstr>
      <vt:lpstr>WSF Отжимания мн.повт. 35кг</vt:lpstr>
      <vt:lpstr>WSF Отжимания мн.повт. 25кг</vt:lpstr>
      <vt:lpstr>ФЖД Софт однослой многоповт.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Pascal Girard</cp:lastModifiedBy>
  <cp:revision/>
  <dcterms:created xsi:type="dcterms:W3CDTF">2002-06-16T13:36:44Z</dcterms:created>
  <dcterms:modified xsi:type="dcterms:W3CDTF">2020-12-27T08:54:04Z</dcterms:modified>
  <cp:category/>
  <cp:contentStatus/>
</cp:coreProperties>
</file>