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ascal Girard\Documents\SITE BENCHPRESSCHAMPION.COM\100kg\"/>
    </mc:Choice>
  </mc:AlternateContent>
  <xr:revisionPtr revIDLastSave="0" documentId="13_ncr:1_{62850574-B99A-4FCF-9B1A-CDC16B06C27F}" xr6:coauthVersionLast="45" xr6:coauthVersionMax="46" xr10:uidLastSave="{00000000-0000-0000-0000-000000000000}"/>
  <bookViews>
    <workbookView xWindow="-120" yWindow="-120" windowWidth="29040" windowHeight="15840" tabRatio="922" firstSheet="10" activeTab="15" xr2:uid="{00000000-000D-0000-FFFF-FFFF00000000}"/>
  </bookViews>
  <sheets>
    <sheet name="WRPF ПЛ без экипировки ДК" sheetId="29" r:id="rId1"/>
    <sheet name="WRPF ПЛ без экипировки" sheetId="28" r:id="rId2"/>
    <sheet name="WRPF ПЛ в бинтах ДК" sheetId="25" r:id="rId3"/>
    <sheet name="WRPF ПЛ в бинтах" sheetId="24" r:id="rId4"/>
    <sheet name="WRPF Двоеборье без экип ДК" sheetId="47" r:id="rId5"/>
    <sheet name="WRPF Двоеборье без экип" sheetId="46" r:id="rId6"/>
    <sheet name="WRPF Народный 1 вес ДК" sheetId="52" r:id="rId7"/>
    <sheet name="WRPF Народный 1 вес" sheetId="50" r:id="rId8"/>
    <sheet name="WRPF Народный 1_2 веса ДК" sheetId="53" r:id="rId9"/>
    <sheet name="WRPF Народный 1_2 веса" sheetId="51" r:id="rId10"/>
    <sheet name="WSF Подтягивания мн.повт. 35кг" sheetId="12" r:id="rId11"/>
    <sheet name="WSF Подтягивания мн.повт. 15кг" sheetId="8" r:id="rId12"/>
    <sheet name="WSF Отжимания мн.повт. 50кг" sheetId="14" r:id="rId13"/>
    <sheet name="WSF Отжимания мн.повт. 25кг" sheetId="11" r:id="rId14"/>
    <sheet name="WSF Отжимания мн.повт. 15кг" sheetId="9" r:id="rId15"/>
    <sheet name="WSF Подтягивания мн.повт. 10кг" sheetId="6" r:id="rId16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28" l="1"/>
  <c r="J19" i="53" l="1"/>
  <c r="I19" i="53"/>
  <c r="E19" i="53"/>
  <c r="J16" i="53"/>
  <c r="I16" i="53"/>
  <c r="E16" i="53"/>
  <c r="J15" i="53"/>
  <c r="I15" i="53"/>
  <c r="E15" i="53"/>
  <c r="J12" i="53"/>
  <c r="I12" i="53"/>
  <c r="E12" i="53"/>
  <c r="J9" i="53"/>
  <c r="I9" i="53"/>
  <c r="E9" i="53"/>
  <c r="J6" i="53"/>
  <c r="I6" i="53"/>
  <c r="E6" i="53"/>
  <c r="J27" i="52"/>
  <c r="I27" i="52"/>
  <c r="E27" i="52"/>
  <c r="J26" i="52"/>
  <c r="I26" i="52"/>
  <c r="E26" i="52"/>
  <c r="J23" i="52"/>
  <c r="I23" i="52"/>
  <c r="E23" i="52"/>
  <c r="J22" i="52"/>
  <c r="I22" i="52"/>
  <c r="E22" i="52"/>
  <c r="J19" i="52"/>
  <c r="I19" i="52"/>
  <c r="E19" i="52"/>
  <c r="J18" i="52"/>
  <c r="I18" i="52"/>
  <c r="E18" i="52"/>
  <c r="J17" i="52"/>
  <c r="I17" i="52"/>
  <c r="E17" i="52"/>
  <c r="J14" i="52"/>
  <c r="I14" i="52"/>
  <c r="E14" i="52"/>
  <c r="J11" i="52"/>
  <c r="I11" i="52"/>
  <c r="E11" i="52"/>
  <c r="J10" i="52"/>
  <c r="I10" i="52"/>
  <c r="E10" i="52"/>
  <c r="J7" i="52"/>
  <c r="I7" i="52"/>
  <c r="E7" i="52"/>
  <c r="J6" i="52"/>
  <c r="I6" i="52"/>
  <c r="E6" i="52"/>
  <c r="J9" i="51"/>
  <c r="I9" i="51"/>
  <c r="E9" i="51"/>
  <c r="J6" i="51"/>
  <c r="I6" i="51"/>
  <c r="E6" i="51"/>
  <c r="J22" i="50"/>
  <c r="I22" i="50"/>
  <c r="E22" i="50"/>
  <c r="J19" i="50"/>
  <c r="I19" i="50"/>
  <c r="E19" i="50"/>
  <c r="J18" i="50"/>
  <c r="I18" i="50"/>
  <c r="E18" i="50"/>
  <c r="J15" i="50"/>
  <c r="I15" i="50"/>
  <c r="E15" i="50"/>
  <c r="J14" i="50"/>
  <c r="I14" i="50"/>
  <c r="E14" i="50"/>
  <c r="J11" i="50"/>
  <c r="I11" i="50"/>
  <c r="E11" i="50"/>
  <c r="J10" i="50"/>
  <c r="I10" i="50"/>
  <c r="E10" i="50"/>
  <c r="J9" i="50"/>
  <c r="I9" i="50"/>
  <c r="E9" i="50"/>
  <c r="J6" i="50"/>
  <c r="I6" i="50"/>
  <c r="E6" i="50"/>
  <c r="P25" i="47"/>
  <c r="O25" i="47"/>
  <c r="E25" i="47"/>
  <c r="P24" i="47"/>
  <c r="O24" i="47"/>
  <c r="E24" i="47"/>
  <c r="P23" i="47"/>
  <c r="O23" i="47"/>
  <c r="E23" i="47"/>
  <c r="P20" i="47"/>
  <c r="E20" i="47"/>
  <c r="P17" i="47"/>
  <c r="O17" i="47"/>
  <c r="E17" i="47"/>
  <c r="P16" i="47"/>
  <c r="O16" i="47"/>
  <c r="E16" i="47"/>
  <c r="P15" i="47"/>
  <c r="O15" i="47"/>
  <c r="E15" i="47"/>
  <c r="P12" i="47"/>
  <c r="O12" i="47"/>
  <c r="E12" i="47"/>
  <c r="P9" i="47"/>
  <c r="O9" i="47"/>
  <c r="E9" i="47"/>
  <c r="P6" i="47"/>
  <c r="O6" i="47"/>
  <c r="E6" i="47"/>
  <c r="P26" i="46"/>
  <c r="O26" i="46"/>
  <c r="E26" i="46"/>
  <c r="P23" i="46"/>
  <c r="O23" i="46"/>
  <c r="E23" i="46"/>
  <c r="P20" i="46"/>
  <c r="O20" i="46"/>
  <c r="E20" i="46"/>
  <c r="P19" i="46"/>
  <c r="O19" i="46"/>
  <c r="E19" i="46"/>
  <c r="P18" i="46"/>
  <c r="O18" i="46"/>
  <c r="E18" i="46"/>
  <c r="P15" i="46"/>
  <c r="O15" i="46"/>
  <c r="E15" i="46"/>
  <c r="P14" i="46"/>
  <c r="O14" i="46"/>
  <c r="E14" i="46"/>
  <c r="P13" i="46"/>
  <c r="O13" i="46"/>
  <c r="E13" i="46"/>
  <c r="P10" i="46"/>
  <c r="O10" i="46"/>
  <c r="E10" i="46"/>
  <c r="P7" i="46"/>
  <c r="O7" i="46"/>
  <c r="E7" i="46"/>
  <c r="P6" i="46"/>
  <c r="O6" i="46"/>
  <c r="E6" i="46"/>
  <c r="T67" i="29"/>
  <c r="S67" i="29"/>
  <c r="E67" i="29"/>
  <c r="T64" i="29"/>
  <c r="S64" i="29"/>
  <c r="E64" i="29"/>
  <c r="T63" i="29"/>
  <c r="S63" i="29"/>
  <c r="E63" i="29"/>
  <c r="T60" i="29"/>
  <c r="S60" i="29"/>
  <c r="E60" i="29"/>
  <c r="T57" i="29"/>
  <c r="S57" i="29"/>
  <c r="E57" i="29"/>
  <c r="T56" i="29"/>
  <c r="S56" i="29"/>
  <c r="E56" i="29"/>
  <c r="T55" i="29"/>
  <c r="S55" i="29"/>
  <c r="E55" i="29"/>
  <c r="T54" i="29"/>
  <c r="S54" i="29"/>
  <c r="E54" i="29"/>
  <c r="T53" i="29"/>
  <c r="S53" i="29"/>
  <c r="E53" i="29"/>
  <c r="T50" i="29"/>
  <c r="E50" i="29"/>
  <c r="T49" i="29"/>
  <c r="S49" i="29"/>
  <c r="E49" i="29"/>
  <c r="T48" i="29"/>
  <c r="S48" i="29"/>
  <c r="E48" i="29"/>
  <c r="T47" i="29"/>
  <c r="S47" i="29"/>
  <c r="E47" i="29"/>
  <c r="T44" i="29"/>
  <c r="S44" i="29"/>
  <c r="E44" i="29"/>
  <c r="T43" i="29"/>
  <c r="S43" i="29"/>
  <c r="E43" i="29"/>
  <c r="T42" i="29"/>
  <c r="S42" i="29"/>
  <c r="E42" i="29"/>
  <c r="T41" i="29"/>
  <c r="S41" i="29"/>
  <c r="E41" i="29"/>
  <c r="T40" i="29"/>
  <c r="S40" i="29"/>
  <c r="E40" i="29"/>
  <c r="T39" i="29"/>
  <c r="S39" i="29"/>
  <c r="E39" i="29"/>
  <c r="T36" i="29"/>
  <c r="S36" i="29"/>
  <c r="E36" i="29"/>
  <c r="T35" i="29"/>
  <c r="S35" i="29"/>
  <c r="E35" i="29"/>
  <c r="T34" i="29"/>
  <c r="S34" i="29"/>
  <c r="E34" i="29"/>
  <c r="T33" i="29"/>
  <c r="S33" i="29"/>
  <c r="E33" i="29"/>
  <c r="T32" i="29"/>
  <c r="S32" i="29"/>
  <c r="E32" i="29"/>
  <c r="T29" i="29"/>
  <c r="S29" i="29"/>
  <c r="E29" i="29"/>
  <c r="T28" i="29"/>
  <c r="S28" i="29"/>
  <c r="E28" i="29"/>
  <c r="T25" i="29"/>
  <c r="S25" i="29"/>
  <c r="E25" i="29"/>
  <c r="T24" i="29"/>
  <c r="S24" i="29"/>
  <c r="E24" i="29"/>
  <c r="T23" i="29"/>
  <c r="S23" i="29"/>
  <c r="E23" i="29"/>
  <c r="T20" i="29"/>
  <c r="E20" i="29"/>
  <c r="T19" i="29"/>
  <c r="E19" i="29"/>
  <c r="T18" i="29"/>
  <c r="S18" i="29"/>
  <c r="E18" i="29"/>
  <c r="T17" i="29"/>
  <c r="S17" i="29"/>
  <c r="E17" i="29"/>
  <c r="T14" i="29"/>
  <c r="S14" i="29"/>
  <c r="E14" i="29"/>
  <c r="T13" i="29"/>
  <c r="S13" i="29"/>
  <c r="E13" i="29"/>
  <c r="T12" i="29"/>
  <c r="S12" i="29"/>
  <c r="E12" i="29"/>
  <c r="T9" i="29"/>
  <c r="S9" i="29"/>
  <c r="E9" i="29"/>
  <c r="T8" i="29"/>
  <c r="S8" i="29"/>
  <c r="E8" i="29"/>
  <c r="T7" i="29"/>
  <c r="S7" i="29"/>
  <c r="E7" i="29"/>
  <c r="T6" i="29"/>
  <c r="S6" i="29"/>
  <c r="E6" i="29"/>
  <c r="T46" i="28"/>
  <c r="S46" i="28"/>
  <c r="E46" i="28"/>
  <c r="T43" i="28"/>
  <c r="S43" i="28"/>
  <c r="E43" i="28"/>
  <c r="T42" i="28"/>
  <c r="S42" i="28"/>
  <c r="E42" i="28"/>
  <c r="T39" i="28"/>
  <c r="S39" i="28"/>
  <c r="E39" i="28"/>
  <c r="T38" i="28"/>
  <c r="S38" i="28"/>
  <c r="E38" i="28"/>
  <c r="T37" i="28"/>
  <c r="S37" i="28"/>
  <c r="E37" i="28"/>
  <c r="T36" i="28"/>
  <c r="S36" i="28"/>
  <c r="E36" i="28"/>
  <c r="T35" i="28"/>
  <c r="S35" i="28"/>
  <c r="E35" i="28"/>
  <c r="T34" i="28"/>
  <c r="S34" i="28"/>
  <c r="E34" i="28"/>
  <c r="T31" i="28"/>
  <c r="E31" i="28"/>
  <c r="T30" i="28"/>
  <c r="S30" i="28"/>
  <c r="E30" i="28"/>
  <c r="T29" i="28"/>
  <c r="S29" i="28"/>
  <c r="E29" i="28"/>
  <c r="T26" i="28"/>
  <c r="S26" i="28"/>
  <c r="E26" i="28"/>
  <c r="T25" i="28"/>
  <c r="S25" i="28"/>
  <c r="E25" i="28"/>
  <c r="T22" i="28"/>
  <c r="S22" i="28"/>
  <c r="E22" i="28"/>
  <c r="T19" i="28"/>
  <c r="S19" i="28"/>
  <c r="E19" i="28"/>
  <c r="T18" i="28"/>
  <c r="S18" i="28"/>
  <c r="E18" i="28"/>
  <c r="T17" i="28"/>
  <c r="S17" i="28"/>
  <c r="E17" i="28"/>
  <c r="T14" i="28"/>
  <c r="S14" i="28"/>
  <c r="E14" i="28"/>
  <c r="T13" i="28"/>
  <c r="S13" i="28"/>
  <c r="E13" i="28"/>
  <c r="T12" i="28"/>
  <c r="S12" i="28"/>
  <c r="E12" i="28"/>
  <c r="T9" i="28"/>
  <c r="S9" i="28"/>
  <c r="E9" i="28"/>
  <c r="S6" i="28"/>
  <c r="T27" i="25"/>
  <c r="S27" i="25"/>
  <c r="E27" i="25"/>
  <c r="T24" i="25"/>
  <c r="S24" i="25"/>
  <c r="E24" i="25"/>
  <c r="T21" i="25"/>
  <c r="S21" i="25"/>
  <c r="E21" i="25"/>
  <c r="T20" i="25"/>
  <c r="S20" i="25"/>
  <c r="E20" i="25"/>
  <c r="T17" i="25"/>
  <c r="E17" i="25"/>
  <c r="T16" i="25"/>
  <c r="E16" i="25"/>
  <c r="T15" i="25"/>
  <c r="S15" i="25"/>
  <c r="E15" i="25"/>
  <c r="T12" i="25"/>
  <c r="S12" i="25"/>
  <c r="E12" i="25"/>
  <c r="T9" i="25"/>
  <c r="S9" i="25"/>
  <c r="E9" i="25"/>
  <c r="T6" i="25"/>
  <c r="S6" i="25"/>
  <c r="E6" i="25"/>
  <c r="T37" i="24"/>
  <c r="S37" i="24"/>
  <c r="E37" i="24"/>
  <c r="T34" i="24"/>
  <c r="E34" i="24"/>
  <c r="T33" i="24"/>
  <c r="E33" i="24"/>
  <c r="T32" i="24"/>
  <c r="S32" i="24"/>
  <c r="E32" i="24"/>
  <c r="T29" i="24"/>
  <c r="S29" i="24"/>
  <c r="E29" i="24"/>
  <c r="T26" i="24"/>
  <c r="S26" i="24"/>
  <c r="E26" i="24"/>
  <c r="T25" i="24"/>
  <c r="S25" i="24"/>
  <c r="E25" i="24"/>
  <c r="T24" i="24"/>
  <c r="E24" i="24"/>
  <c r="T23" i="24"/>
  <c r="E23" i="24"/>
  <c r="T22" i="24"/>
  <c r="S22" i="24"/>
  <c r="E22" i="24"/>
  <c r="T19" i="24"/>
  <c r="S19" i="24"/>
  <c r="E19" i="24"/>
  <c r="T18" i="24"/>
  <c r="S18" i="24"/>
  <c r="E18" i="24"/>
  <c r="T17" i="24"/>
  <c r="S17" i="24"/>
  <c r="E17" i="24"/>
  <c r="T16" i="24"/>
  <c r="S16" i="24"/>
  <c r="E16" i="24"/>
  <c r="T15" i="24"/>
  <c r="S15" i="24"/>
  <c r="E15" i="24"/>
  <c r="T12" i="24"/>
  <c r="S12" i="24"/>
  <c r="E12" i="24"/>
  <c r="T11" i="24"/>
  <c r="E11" i="24"/>
  <c r="T10" i="24"/>
  <c r="S10" i="24"/>
  <c r="E10" i="24"/>
  <c r="T7" i="24"/>
  <c r="S7" i="24"/>
  <c r="E7" i="24"/>
  <c r="T6" i="24"/>
  <c r="S6" i="24"/>
  <c r="E6" i="24"/>
</calcChain>
</file>

<file path=xl/sharedStrings.xml><?xml version="1.0" encoding="utf-8"?>
<sst xmlns="http://schemas.openxmlformats.org/spreadsheetml/2006/main" count="2370" uniqueCount="761">
  <si>
    <t>Открытый Чемпионат Европы
WRPF любители Пауэрлифтинг без экипировки ДК
Москва, 8-9 августа 2020 года</t>
  </si>
  <si>
    <t>Место</t>
  </si>
  <si>
    <t>ФИО</t>
  </si>
  <si>
    <t>Возрастная группа
Дата рождения/Возраст</t>
  </si>
  <si>
    <t>Собственный 
вес</t>
  </si>
  <si>
    <t>Wilks</t>
  </si>
  <si>
    <t>Город/Страна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</si>
  <si>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</si>
  <si>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</si>
  <si>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</si>
  <si>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</si>
  <si>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</si>
  <si>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</si>
  <si>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</si>
  <si>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52</t>
  </si>
  <si>
    <t>1</t>
  </si>
  <si>
    <t>Степанкина Марина</t>
  </si>
  <si>
    <t>Юниорки (17.12.1998)/21</t>
  </si>
  <si>
    <t>51,40</t>
  </si>
  <si>
    <t xml:space="preserve">RUS/Зеленоград </t>
  </si>
  <si>
    <t>82,5</t>
  </si>
  <si>
    <t>87,5</t>
  </si>
  <si>
    <t>90,0</t>
  </si>
  <si>
    <t>47,5</t>
  </si>
  <si>
    <t>50,0</t>
  </si>
  <si>
    <t>95,0</t>
  </si>
  <si>
    <t>100,0</t>
  </si>
  <si>
    <t xml:space="preserve">Сакович О. </t>
  </si>
  <si>
    <t>Герман Юлия</t>
  </si>
  <si>
    <t>Открытая (28.12.1992)/27</t>
  </si>
  <si>
    <t>51,80</t>
  </si>
  <si>
    <t xml:space="preserve">RUS/Смоленск </t>
  </si>
  <si>
    <t>85,0</t>
  </si>
  <si>
    <t>92,5</t>
  </si>
  <si>
    <t>40,0</t>
  </si>
  <si>
    <t>42,5</t>
  </si>
  <si>
    <t>45,0</t>
  </si>
  <si>
    <t>115,0</t>
  </si>
  <si>
    <t>120,0</t>
  </si>
  <si>
    <t>125,0</t>
  </si>
  <si>
    <t xml:space="preserve">Воробьев М. </t>
  </si>
  <si>
    <t>2</t>
  </si>
  <si>
    <t>Открытая (17.12.1998)/21</t>
  </si>
  <si>
    <t>3</t>
  </si>
  <si>
    <t>Кокорина Снежана</t>
  </si>
  <si>
    <t>Открытая (05.11.1983)/36</t>
  </si>
  <si>
    <t>50,40</t>
  </si>
  <si>
    <t xml:space="preserve">RUS/Москва </t>
  </si>
  <si>
    <t>75,0</t>
  </si>
  <si>
    <t>80,0</t>
  </si>
  <si>
    <t xml:space="preserve">Качан С. </t>
  </si>
  <si>
    <t/>
  </si>
  <si>
    <t>ВЕСОВАЯ КАТЕГОРИЯ   56</t>
  </si>
  <si>
    <t>Землянская Анна</t>
  </si>
  <si>
    <t>Открытая (10.03.1981)/39</t>
  </si>
  <si>
    <t>55,20</t>
  </si>
  <si>
    <t xml:space="preserve">UKR/Горловка </t>
  </si>
  <si>
    <t>110,0</t>
  </si>
  <si>
    <t>65,0</t>
  </si>
  <si>
    <t>67,5</t>
  </si>
  <si>
    <t>70,0</t>
  </si>
  <si>
    <t>135,0</t>
  </si>
  <si>
    <t>145,0</t>
  </si>
  <si>
    <t>152,5</t>
  </si>
  <si>
    <t xml:space="preserve">Cамостоятельно </t>
  </si>
  <si>
    <t>Острейко Ольга</t>
  </si>
  <si>
    <t>Открытая (13.09.1994)/25</t>
  </si>
  <si>
    <t>53,30</t>
  </si>
  <si>
    <t>77,5</t>
  </si>
  <si>
    <t>52,5</t>
  </si>
  <si>
    <t xml:space="preserve">Белкин Ю. </t>
  </si>
  <si>
    <t>Накопия Фируза</t>
  </si>
  <si>
    <t>Открытая (04.09.1985)/34</t>
  </si>
  <si>
    <t>55,30</t>
  </si>
  <si>
    <t xml:space="preserve">RUS/Люберцы </t>
  </si>
  <si>
    <t>55,0</t>
  </si>
  <si>
    <t xml:space="preserve">Кончакова Н. </t>
  </si>
  <si>
    <t>ВЕСОВАЯ КАТЕГОРИЯ   67.5</t>
  </si>
  <si>
    <t>Харина Валентина</t>
  </si>
  <si>
    <t>Открытая (24.12.1977)/42</t>
  </si>
  <si>
    <t>66,80</t>
  </si>
  <si>
    <t>130,0</t>
  </si>
  <si>
    <t>105,0</t>
  </si>
  <si>
    <t>140,0</t>
  </si>
  <si>
    <t>150,0</t>
  </si>
  <si>
    <t>Прокопов М.</t>
  </si>
  <si>
    <t>Ядрихинская Мария</t>
  </si>
  <si>
    <t>Открытая (09.07.1982)/38</t>
  </si>
  <si>
    <t>66,60</t>
  </si>
  <si>
    <t>132,5</t>
  </si>
  <si>
    <t>60,0</t>
  </si>
  <si>
    <t>127,5</t>
  </si>
  <si>
    <t>-</t>
  </si>
  <si>
    <t>Крупская Екатерина</t>
  </si>
  <si>
    <t>Открытая (20.02.1999)/21</t>
  </si>
  <si>
    <t>62,00</t>
  </si>
  <si>
    <t xml:space="preserve">RUS/Клинцы </t>
  </si>
  <si>
    <t xml:space="preserve">Моргулец Д. </t>
  </si>
  <si>
    <t>Трофимчук Ирина</t>
  </si>
  <si>
    <t>Открытая (15.03.1988)/32</t>
  </si>
  <si>
    <t>65,00</t>
  </si>
  <si>
    <t xml:space="preserve">RUS/Подольск </t>
  </si>
  <si>
    <t>ВЕСОВАЯ КАТЕГОРИЯ   75</t>
  </si>
  <si>
    <t>Малышева Евгения</t>
  </si>
  <si>
    <t>Открытая (09.04.1984)/36</t>
  </si>
  <si>
    <t>74,80</t>
  </si>
  <si>
    <t xml:space="preserve">RUS/Надым </t>
  </si>
  <si>
    <t>147,5</t>
  </si>
  <si>
    <t xml:space="preserve">Коломыцев М. </t>
  </si>
  <si>
    <t>Чернобай Светлана</t>
  </si>
  <si>
    <t>Открытая (08.12.1978)/41</t>
  </si>
  <si>
    <t>72,00</t>
  </si>
  <si>
    <t xml:space="preserve">RUS/Симферополь </t>
  </si>
  <si>
    <t>57,5</t>
  </si>
  <si>
    <t>62,5</t>
  </si>
  <si>
    <t xml:space="preserve">Катаев Л. </t>
  </si>
  <si>
    <t>Рожкова Екатерина</t>
  </si>
  <si>
    <t>Открытая (08.05.1995)/25</t>
  </si>
  <si>
    <t>71,10</t>
  </si>
  <si>
    <t>37,5</t>
  </si>
  <si>
    <t>72,5</t>
  </si>
  <si>
    <t>Elsayed Mahmoud</t>
  </si>
  <si>
    <t>Открытая (28.06.1992)/28</t>
  </si>
  <si>
    <t>67,20</t>
  </si>
  <si>
    <t xml:space="preserve">EGY/Cairo </t>
  </si>
  <si>
    <t>155,0</t>
  </si>
  <si>
    <t>122,5</t>
  </si>
  <si>
    <t>215,0</t>
  </si>
  <si>
    <t>220,0</t>
  </si>
  <si>
    <t>230,0</t>
  </si>
  <si>
    <t>240,0</t>
  </si>
  <si>
    <t>Байбородин Евгений</t>
  </si>
  <si>
    <t>Открытая (23.01.1987)/33</t>
  </si>
  <si>
    <t>65,40</t>
  </si>
  <si>
    <t xml:space="preserve">RUS/Архангельск </t>
  </si>
  <si>
    <t>190,0</t>
  </si>
  <si>
    <t>200,0</t>
  </si>
  <si>
    <t>Фролов Ярослав</t>
  </si>
  <si>
    <t>Юноши 14-16 (17.12.2004)/15</t>
  </si>
  <si>
    <t>72,80</t>
  </si>
  <si>
    <t xml:space="preserve">Малов В. </t>
  </si>
  <si>
    <t>DQ</t>
  </si>
  <si>
    <t>Кузнецов Андрей</t>
  </si>
  <si>
    <t>Юниоры (31.01.1999)/21</t>
  </si>
  <si>
    <t>73,40</t>
  </si>
  <si>
    <t xml:space="preserve">RUS/Щёлково </t>
  </si>
  <si>
    <t>172,5</t>
  </si>
  <si>
    <t>180,0</t>
  </si>
  <si>
    <t>185,0</t>
  </si>
  <si>
    <t>227,5</t>
  </si>
  <si>
    <t>232,5</t>
  </si>
  <si>
    <t xml:space="preserve">Мышко Н. </t>
  </si>
  <si>
    <t>Karimov Mirtahib</t>
  </si>
  <si>
    <t>Юниоры (03.07.2000)/20</t>
  </si>
  <si>
    <t xml:space="preserve">AZE/Баку </t>
  </si>
  <si>
    <t>160,0</t>
  </si>
  <si>
    <t>182,5</t>
  </si>
  <si>
    <t>212,5</t>
  </si>
  <si>
    <t xml:space="preserve">Guliyev N. </t>
  </si>
  <si>
    <t>Чуприн Григорий</t>
  </si>
  <si>
    <t>Открытая (10.12.1989)/30</t>
  </si>
  <si>
    <t>74,40</t>
  </si>
  <si>
    <t xml:space="preserve">RUS/Белогорск </t>
  </si>
  <si>
    <t>97,5</t>
  </si>
  <si>
    <t>102,5</t>
  </si>
  <si>
    <t>170,0</t>
  </si>
  <si>
    <t>Корунов Виктор</t>
  </si>
  <si>
    <t>Мастера 60-69 (01.05.1959)/61</t>
  </si>
  <si>
    <t>69,00</t>
  </si>
  <si>
    <t xml:space="preserve">RUS/Великий Новгород </t>
  </si>
  <si>
    <t>130,5</t>
  </si>
  <si>
    <t>90,5</t>
  </si>
  <si>
    <t>165,0</t>
  </si>
  <si>
    <t>ВЕСОВАЯ КАТЕГОРИЯ   82.5</t>
  </si>
  <si>
    <t>Моргунов Александр</t>
  </si>
  <si>
    <t>Юноши 14-16 (18.01.2004)/16</t>
  </si>
  <si>
    <t>79,70</t>
  </si>
  <si>
    <t xml:space="preserve">RUS/Новосибирск </t>
  </si>
  <si>
    <t>142,5</t>
  </si>
  <si>
    <t xml:space="preserve">Тузов А. </t>
  </si>
  <si>
    <t>Елсаков Константин</t>
  </si>
  <si>
    <t>Открытая (26.05.1990)/30</t>
  </si>
  <si>
    <t>82,40</t>
  </si>
  <si>
    <t xml:space="preserve">RUS/Нахабино </t>
  </si>
  <si>
    <t>210,0</t>
  </si>
  <si>
    <t>225,0</t>
  </si>
  <si>
    <t>250,0</t>
  </si>
  <si>
    <t>260,0</t>
  </si>
  <si>
    <t>Денисов Сергей</t>
  </si>
  <si>
    <t>Открытая (15.09.1991)/28</t>
  </si>
  <si>
    <t>80,30</t>
  </si>
  <si>
    <t xml:space="preserve">RUS/Барнаул </t>
  </si>
  <si>
    <t>195,0</t>
  </si>
  <si>
    <t>205,0</t>
  </si>
  <si>
    <t>245,0</t>
  </si>
  <si>
    <t>Воротников Алексей</t>
  </si>
  <si>
    <t>Открытая (08.10.1980)/39</t>
  </si>
  <si>
    <t>217,5</t>
  </si>
  <si>
    <t>137,5</t>
  </si>
  <si>
    <t>4</t>
  </si>
  <si>
    <t>Донников Юрий</t>
  </si>
  <si>
    <t>Открытая (01.12.1983)/36</t>
  </si>
  <si>
    <t>81,00</t>
  </si>
  <si>
    <t xml:space="preserve">RUS/Железнодорожный </t>
  </si>
  <si>
    <t>235,0</t>
  </si>
  <si>
    <t xml:space="preserve">Пустовой Р. </t>
  </si>
  <si>
    <t>Zhakin Vladimir</t>
  </si>
  <si>
    <t>Мастера 60-69 (15.09.1952)/67</t>
  </si>
  <si>
    <t>80,00</t>
  </si>
  <si>
    <t>ВЕСОВАЯ КАТЕГОРИЯ   90</t>
  </si>
  <si>
    <t>Коробейко Егор</t>
  </si>
  <si>
    <t>Юноши 17-19 (06.03.2002)/18</t>
  </si>
  <si>
    <t>87,70</t>
  </si>
  <si>
    <t>192,5</t>
  </si>
  <si>
    <t>Федорец Михаил</t>
  </si>
  <si>
    <t>Открытая (29.07.1989)/31</t>
  </si>
  <si>
    <t>86,60</t>
  </si>
  <si>
    <t xml:space="preserve">RUS/Альметьевск </t>
  </si>
  <si>
    <t xml:space="preserve">Федорец О. </t>
  </si>
  <si>
    <t>Стеншин Давид</t>
  </si>
  <si>
    <t>Открытая (02.07.1992)/28</t>
  </si>
  <si>
    <t>89,20</t>
  </si>
  <si>
    <t xml:space="preserve">RUS/Нижний Новгород </t>
  </si>
  <si>
    <t>175,0</t>
  </si>
  <si>
    <t xml:space="preserve">Суслов Н. </t>
  </si>
  <si>
    <t>Абрамов Никита</t>
  </si>
  <si>
    <t>Открытая (29.11.1991)/28</t>
  </si>
  <si>
    <t>89,30</t>
  </si>
  <si>
    <t xml:space="preserve">RUS/Калуга </t>
  </si>
  <si>
    <t>255,0</t>
  </si>
  <si>
    <t>Савинкин А.</t>
  </si>
  <si>
    <t>ВЕСОВАЯ КАТЕГОРИЯ   100</t>
  </si>
  <si>
    <t>Вороков Султан</t>
  </si>
  <si>
    <t>Юниоры (24.03.1997)/23</t>
  </si>
  <si>
    <t>99,50</t>
  </si>
  <si>
    <t xml:space="preserve">RUS/Баксан </t>
  </si>
  <si>
    <t xml:space="preserve">Хашпаков М. </t>
  </si>
  <si>
    <t>Киселёв Денис</t>
  </si>
  <si>
    <t>Открытая (03.08.1997)/23</t>
  </si>
  <si>
    <t>93,30</t>
  </si>
  <si>
    <t xml:space="preserve">RUS/Усть-Катав </t>
  </si>
  <si>
    <t>207,5</t>
  </si>
  <si>
    <t>Рублев Михаил</t>
  </si>
  <si>
    <t>Открытая (07.06.1979)/41</t>
  </si>
  <si>
    <t>98,20</t>
  </si>
  <si>
    <t xml:space="preserve">RUS/Жуковский </t>
  </si>
  <si>
    <t>167,5</t>
  </si>
  <si>
    <t>Воронов Олег</t>
  </si>
  <si>
    <t>Мастера 40-49 (24.12.1973)/46</t>
  </si>
  <si>
    <t>98,10</t>
  </si>
  <si>
    <t>242,5</t>
  </si>
  <si>
    <t xml:space="preserve">Танаев М. </t>
  </si>
  <si>
    <t>Макаров Владимир</t>
  </si>
  <si>
    <t>Мастера 70-79 (25.07.1946)/74</t>
  </si>
  <si>
    <t>95,80</t>
  </si>
  <si>
    <t xml:space="preserve">RUS/Собинка </t>
  </si>
  <si>
    <t>ВЕСОВАЯ КАТЕГОРИЯ   110</t>
  </si>
  <si>
    <t>Серов Денис</t>
  </si>
  <si>
    <t>Открытая (05.09.1981)/38</t>
  </si>
  <si>
    <t>105,30</t>
  </si>
  <si>
    <t xml:space="preserve">RUS/Санкт-Петербург </t>
  </si>
  <si>
    <t>ВЕСОВАЯ КАТЕГОРИЯ   125</t>
  </si>
  <si>
    <t>Астахов Денис</t>
  </si>
  <si>
    <t>Открытая (21.05.1984)/36</t>
  </si>
  <si>
    <t>116,70</t>
  </si>
  <si>
    <t>290,0</t>
  </si>
  <si>
    <t>300,0</t>
  </si>
  <si>
    <t>307,5</t>
  </si>
  <si>
    <t>157,5</t>
  </si>
  <si>
    <t>275,0</t>
  </si>
  <si>
    <t>285,0</t>
  </si>
  <si>
    <t>292,5</t>
  </si>
  <si>
    <t xml:space="preserve">Осипов К. </t>
  </si>
  <si>
    <t>Маркин Николай</t>
  </si>
  <si>
    <t>Открытая (14.03.1981)/39</t>
  </si>
  <si>
    <t>116,10</t>
  </si>
  <si>
    <t>270,0</t>
  </si>
  <si>
    <t xml:space="preserve">Лазарев В. </t>
  </si>
  <si>
    <t>ВЕСОВАЯ КАТЕГОРИЯ   140</t>
  </si>
  <si>
    <t>Самарин Лев</t>
  </si>
  <si>
    <t>Открытая (28.05.1983)/37</t>
  </si>
  <si>
    <t>137,00</t>
  </si>
  <si>
    <t>265,0</t>
  </si>
  <si>
    <t>302,5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</si>
  <si>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</si>
  <si>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</si>
  <si>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</si>
  <si>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</si>
  <si>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</si>
  <si>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>Весовая категория</t>
  </si>
  <si>
    <t xml:space="preserve">Сумма </t>
  </si>
  <si>
    <t xml:space="preserve">Wilks </t>
  </si>
  <si>
    <t>67.5</t>
  </si>
  <si>
    <t>385,0</t>
  </si>
  <si>
    <t>395,8955</t>
  </si>
  <si>
    <t>56</t>
  </si>
  <si>
    <t>330,0</t>
  </si>
  <si>
    <t>392,7000</t>
  </si>
  <si>
    <t>325,0</t>
  </si>
  <si>
    <t>334,9450</t>
  </si>
  <si>
    <t xml:space="preserve">Мужчины </t>
  </si>
  <si>
    <t>125</t>
  </si>
  <si>
    <t>742,5</t>
  </si>
  <si>
    <t>429,7590</t>
  </si>
  <si>
    <t>82.5</t>
  </si>
  <si>
    <t>617,5</t>
  </si>
  <si>
    <t>413,9720</t>
  </si>
  <si>
    <t>600,0</t>
  </si>
  <si>
    <t>408,6600</t>
  </si>
  <si>
    <t>Открытый Чемпионат Европы
WRPF любители Пауэрлифтинг без экипировки
Москва, 8-9 августа 2020 года</t>
  </si>
  <si>
    <t>ВЕСОВАЯ КАТЕГОРИЯ   48</t>
  </si>
  <si>
    <t>Жук Юлия</t>
  </si>
  <si>
    <t>Открытая (01.04.1986)/34</t>
  </si>
  <si>
    <t>47,75</t>
  </si>
  <si>
    <t>117,5</t>
  </si>
  <si>
    <t xml:space="preserve">Таранухин Г. </t>
  </si>
  <si>
    <t>Абрамова Юлия</t>
  </si>
  <si>
    <t>Открытая (29.06.1982)/38</t>
  </si>
  <si>
    <t>55,10</t>
  </si>
  <si>
    <t xml:space="preserve">RUS/Всеволожск </t>
  </si>
  <si>
    <t>ВЕСОВАЯ КАТЕГОРИЯ   60</t>
  </si>
  <si>
    <t>Бондарчук Елена</t>
  </si>
  <si>
    <t>Открытая (18.06.1980)/40</t>
  </si>
  <si>
    <t>60,00</t>
  </si>
  <si>
    <t>Логвинова Надежда</t>
  </si>
  <si>
    <t>Открытая (27.07.1986)/34</t>
  </si>
  <si>
    <t>Натекина Юлия</t>
  </si>
  <si>
    <t>Открытая (02.12.1994)/25</t>
  </si>
  <si>
    <t>59,90</t>
  </si>
  <si>
    <t xml:space="preserve">Кульпин Н. </t>
  </si>
  <si>
    <t>Стародубова Дарья</t>
  </si>
  <si>
    <t>Девушки 14-16 (27.09.2004)/15</t>
  </si>
  <si>
    <t>79,00</t>
  </si>
  <si>
    <t xml:space="preserve">Кабишов С. </t>
  </si>
  <si>
    <t>Дога Виктория</t>
  </si>
  <si>
    <t>Открытая (04.09.1982)/37</t>
  </si>
  <si>
    <t>77,90</t>
  </si>
  <si>
    <t>107,5</t>
  </si>
  <si>
    <t>Открытая (27.09.2004)/15</t>
  </si>
  <si>
    <t>Царёв Иван</t>
  </si>
  <si>
    <t>Открытая (29.01.1985)/35</t>
  </si>
  <si>
    <t>88,60</t>
  </si>
  <si>
    <t>162,5</t>
  </si>
  <si>
    <t>252,5</t>
  </si>
  <si>
    <t>Голубев Дмитрий</t>
  </si>
  <si>
    <t>Открытая (27.02.1992)/28</t>
  </si>
  <si>
    <t>90,00</t>
  </si>
  <si>
    <t>Ризник Артем</t>
  </si>
  <si>
    <t>Открытая (04.05.1994)/26</t>
  </si>
  <si>
    <t>98,50</t>
  </si>
  <si>
    <t>280,0</t>
  </si>
  <si>
    <t>Луговой А.</t>
  </si>
  <si>
    <t>Гусев Валентин</t>
  </si>
  <si>
    <t>Открытая (01.06.1986)/34</t>
  </si>
  <si>
    <t>90,40</t>
  </si>
  <si>
    <t xml:space="preserve">RUS/Егорьевск </t>
  </si>
  <si>
    <t>Павлов Сергей</t>
  </si>
  <si>
    <t>Открытая (30.05.1985)/35</t>
  </si>
  <si>
    <t>96,60</t>
  </si>
  <si>
    <t>237,5</t>
  </si>
  <si>
    <t>247,5</t>
  </si>
  <si>
    <t xml:space="preserve">Иванов С. </t>
  </si>
  <si>
    <t>Загороднюк Иван</t>
  </si>
  <si>
    <t>Юниоры (02.05.1997)/23</t>
  </si>
  <si>
    <t>109,20</t>
  </si>
  <si>
    <t>Мурзинов Руслан</t>
  </si>
  <si>
    <t>Юниоры (16.10.1997)/22</t>
  </si>
  <si>
    <t>101,70</t>
  </si>
  <si>
    <t xml:space="preserve">RUS/Красноярск </t>
  </si>
  <si>
    <t>Омаров Закир</t>
  </si>
  <si>
    <t>Юниоры (31.07.1998)/22</t>
  </si>
  <si>
    <t>110,00</t>
  </si>
  <si>
    <t xml:space="preserve">Федоренко А. </t>
  </si>
  <si>
    <t>Чухнов Павел</t>
  </si>
  <si>
    <t>Открытая (05.03.1989)/31</t>
  </si>
  <si>
    <t>107,00</t>
  </si>
  <si>
    <t xml:space="preserve">RUS/Михайловка </t>
  </si>
  <si>
    <t>310,0</t>
  </si>
  <si>
    <t xml:space="preserve">Амазян Д. </t>
  </si>
  <si>
    <t>Самсонов Юрий</t>
  </si>
  <si>
    <t>Открытая (24.08.1982)/37</t>
  </si>
  <si>
    <t>108,70</t>
  </si>
  <si>
    <t>295,0</t>
  </si>
  <si>
    <t xml:space="preserve">Кочетков А. </t>
  </si>
  <si>
    <t>Исаков Егор</t>
  </si>
  <si>
    <t>Открытая (12.03.1992)/28</t>
  </si>
  <si>
    <t>109,90</t>
  </si>
  <si>
    <t>187,5</t>
  </si>
  <si>
    <t>272,5</t>
  </si>
  <si>
    <t xml:space="preserve">Гурякова А. </t>
  </si>
  <si>
    <t>Макаренко Алексей</t>
  </si>
  <si>
    <t>Открытая (22.02.1981)/39</t>
  </si>
  <si>
    <t>115,60</t>
  </si>
  <si>
    <t>Крылов В.</t>
  </si>
  <si>
    <t>Зайцев Александр</t>
  </si>
  <si>
    <t>Мастера 40-49 (06.04.1980)/40</t>
  </si>
  <si>
    <t>112,10</t>
  </si>
  <si>
    <t xml:space="preserve">RUS/Изобильный </t>
  </si>
  <si>
    <t>Самостоятельно</t>
  </si>
  <si>
    <t>Пысь Дмитрий</t>
  </si>
  <si>
    <t>Открытая (04.05.1986)/34</t>
  </si>
  <si>
    <t>125,10</t>
  </si>
  <si>
    <t xml:space="preserve">RUS/Геленджик </t>
  </si>
  <si>
    <t>320,0</t>
  </si>
  <si>
    <t>340,0</t>
  </si>
  <si>
    <t>350,0</t>
  </si>
  <si>
    <t>405,0</t>
  </si>
  <si>
    <t>482,5980</t>
  </si>
  <si>
    <t>472,5</t>
  </si>
  <si>
    <t>438,9525</t>
  </si>
  <si>
    <t>60</t>
  </si>
  <si>
    <t>390,0</t>
  </si>
  <si>
    <t>434,8110</t>
  </si>
  <si>
    <t>140</t>
  </si>
  <si>
    <t>885,0</t>
  </si>
  <si>
    <t>504,2730</t>
  </si>
  <si>
    <t>110</t>
  </si>
  <si>
    <t>790,0</t>
  </si>
  <si>
    <t>469,0230</t>
  </si>
  <si>
    <t>772,5</t>
  </si>
  <si>
    <t>456,3157</t>
  </si>
  <si>
    <t>Открытый Чемпионат Европы
WRPF любители Пауэрлифтинг классический в бинтах ДК
Москва, 8-9 августа 2020 года</t>
  </si>
  <si>
    <t>Комлач Инесса</t>
  </si>
  <si>
    <t>Девушки 14-16 (05.06.2004)/16</t>
  </si>
  <si>
    <t>51,70</t>
  </si>
  <si>
    <t xml:space="preserve">BLR/Лида </t>
  </si>
  <si>
    <t xml:space="preserve">Страхалис С. </t>
  </si>
  <si>
    <t>Каткова Наталия</t>
  </si>
  <si>
    <t>Открытая (24.08.1989)/30</t>
  </si>
  <si>
    <t>55,00</t>
  </si>
  <si>
    <t xml:space="preserve">RUS/Ярославль </t>
  </si>
  <si>
    <t>Грикин И.</t>
  </si>
  <si>
    <t>Rahimi Bahamin</t>
  </si>
  <si>
    <t>Открытая (06.06.1993)/27</t>
  </si>
  <si>
    <t xml:space="preserve">AFG/Kabul </t>
  </si>
  <si>
    <t>112,5</t>
  </si>
  <si>
    <t>Проскурин Дмитрий</t>
  </si>
  <si>
    <t>Открытая (24.06.1994)/26</t>
  </si>
  <si>
    <t>88,10</t>
  </si>
  <si>
    <t xml:space="preserve">RUS/Костерёво </t>
  </si>
  <si>
    <t xml:space="preserve">Белянин Э. </t>
  </si>
  <si>
    <t>Зуев Алексей</t>
  </si>
  <si>
    <t>Открытая (16.04.1980)/40</t>
  </si>
  <si>
    <t>87,50</t>
  </si>
  <si>
    <t xml:space="preserve">RUS/Быково </t>
  </si>
  <si>
    <t xml:space="preserve">Андреев Т. </t>
  </si>
  <si>
    <t>Мастера 40-49 (16.04.1980)/40</t>
  </si>
  <si>
    <t>Пономарев Владимир</t>
  </si>
  <si>
    <t>Открытая (03.08.1981)/39</t>
  </si>
  <si>
    <t>95,70</t>
  </si>
  <si>
    <t xml:space="preserve">RUS/Кузнецк </t>
  </si>
  <si>
    <t>Калинин Антон</t>
  </si>
  <si>
    <t>Открытая (05.07.1986)/34</t>
  </si>
  <si>
    <t>100,00</t>
  </si>
  <si>
    <t xml:space="preserve">RUS/Рязань </t>
  </si>
  <si>
    <t xml:space="preserve">Щенников А. </t>
  </si>
  <si>
    <t>Пагов Азамат</t>
  </si>
  <si>
    <t>Открытая (10.08.1991)/28</t>
  </si>
  <si>
    <t>Хакяшев Мураз</t>
  </si>
  <si>
    <t>Открытая (06.12.1977)/42</t>
  </si>
  <si>
    <t>114,10</t>
  </si>
  <si>
    <t>Открытый Чемпионат Европы
WRPF любители Пауэрлифтинг классический в бинтах
Москва, 8-9 августа 2020 года</t>
  </si>
  <si>
    <t>Жаденов Владимир</t>
  </si>
  <si>
    <t>Открытая (01.06.1987)/33</t>
  </si>
  <si>
    <t>73,80</t>
  </si>
  <si>
    <t xml:space="preserve">RUS/Волгоград </t>
  </si>
  <si>
    <t xml:space="preserve">Жаденов В. </t>
  </si>
  <si>
    <t>Новоголуб Олег</t>
  </si>
  <si>
    <t>Открытая (27.01.1995)/25</t>
  </si>
  <si>
    <t>74,20</t>
  </si>
  <si>
    <t xml:space="preserve">MDA/Кишинев </t>
  </si>
  <si>
    <t>Бортник Артём</t>
  </si>
  <si>
    <t>Открытая (17.07.1995)/25</t>
  </si>
  <si>
    <t>80,70</t>
  </si>
  <si>
    <t xml:space="preserve">BLR/Минск </t>
  </si>
  <si>
    <t>287,5</t>
  </si>
  <si>
    <t>177,5</t>
  </si>
  <si>
    <t xml:space="preserve">Винокуров Д. </t>
  </si>
  <si>
    <t>Крыжановский Андрей</t>
  </si>
  <si>
    <t>Открытая (24.10.1984)/35</t>
  </si>
  <si>
    <t>81,60</t>
  </si>
  <si>
    <t>Дременков Константин</t>
  </si>
  <si>
    <t>Мастера 50-59 (21.07.1966)/54</t>
  </si>
  <si>
    <t xml:space="preserve">BLR/Брест </t>
  </si>
  <si>
    <t>267,5</t>
  </si>
  <si>
    <t>Качаев Иван</t>
  </si>
  <si>
    <t>Юниоры (05.11.1996)/23</t>
  </si>
  <si>
    <t>88,50</t>
  </si>
  <si>
    <t xml:space="preserve">RUS/Реутов </t>
  </si>
  <si>
    <t xml:space="preserve">Луговой А. </t>
  </si>
  <si>
    <t>Захаров Никита</t>
  </si>
  <si>
    <t>Юниоры (31.08.1998)/21</t>
  </si>
  <si>
    <t>88,30</t>
  </si>
  <si>
    <t xml:space="preserve">RUS/Самара </t>
  </si>
  <si>
    <t>Фёдоров Илья</t>
  </si>
  <si>
    <t>Открытая (29.08.1992)/27</t>
  </si>
  <si>
    <t>89,70</t>
  </si>
  <si>
    <t xml:space="preserve">RUS/Наро-Фоминск </t>
  </si>
  <si>
    <t>365,0</t>
  </si>
  <si>
    <t>375,0</t>
  </si>
  <si>
    <t>Катаев Ленур</t>
  </si>
  <si>
    <t>Открытая (11.10.1994)/25</t>
  </si>
  <si>
    <t>89,90</t>
  </si>
  <si>
    <t>Горбунов Олег</t>
  </si>
  <si>
    <t>Открытая (10.02.1989)/31</t>
  </si>
  <si>
    <t xml:space="preserve">RUS/Чебоксары </t>
  </si>
  <si>
    <t>Маренков Юрий</t>
  </si>
  <si>
    <t>Открытая (18.12.1976)/43</t>
  </si>
  <si>
    <t>99,70</t>
  </si>
  <si>
    <t xml:space="preserve">RUS/Королёв </t>
  </si>
  <si>
    <t>Журавлева Е.</t>
  </si>
  <si>
    <t>Апсов Рауф</t>
  </si>
  <si>
    <t>Открытая (16.04.1992)/28</t>
  </si>
  <si>
    <t>98,60</t>
  </si>
  <si>
    <t xml:space="preserve">RUS/Карачаевск </t>
  </si>
  <si>
    <t xml:space="preserve">Полянский Д. </t>
  </si>
  <si>
    <t>Бозов Тимур</t>
  </si>
  <si>
    <t>Открытая (13.11.1992)/27</t>
  </si>
  <si>
    <t>99,20</t>
  </si>
  <si>
    <t xml:space="preserve">RUS/Каменка </t>
  </si>
  <si>
    <t>Андреев Т.</t>
  </si>
  <si>
    <t>Мастера 40-49 (18.12.1976)/43</t>
  </si>
  <si>
    <t>Марков Анатолий</t>
  </si>
  <si>
    <t>Мастера 60-69 (13.01.1951)/69</t>
  </si>
  <si>
    <t>93,20</t>
  </si>
  <si>
    <t>Ахлестин Сергей</t>
  </si>
  <si>
    <t>Открытая (15.09.1989)/30</t>
  </si>
  <si>
    <t>108,20</t>
  </si>
  <si>
    <t>345,0</t>
  </si>
  <si>
    <t>355,0</t>
  </si>
  <si>
    <t>362,5</t>
  </si>
  <si>
    <t xml:space="preserve">Андреев В. </t>
  </si>
  <si>
    <t>Грикин Илья</t>
  </si>
  <si>
    <t>Открытая (08.04.1992)/28</t>
  </si>
  <si>
    <t>121,90</t>
  </si>
  <si>
    <t>Комков Александр</t>
  </si>
  <si>
    <t>Открытая (26.11.1983)/36</t>
  </si>
  <si>
    <t>122,00</t>
  </si>
  <si>
    <t>Седых Александр</t>
  </si>
  <si>
    <t>Открытая (24.05.1990)/30</t>
  </si>
  <si>
    <t>122,60</t>
  </si>
  <si>
    <t xml:space="preserve">RUS/Химки </t>
  </si>
  <si>
    <t>360,0</t>
  </si>
  <si>
    <t>380,0</t>
  </si>
  <si>
    <t>400,0</t>
  </si>
  <si>
    <t>Луговой Александр</t>
  </si>
  <si>
    <t>Открытая (28.10.1995)/24</t>
  </si>
  <si>
    <t>134,30</t>
  </si>
  <si>
    <t xml:space="preserve">RUS/Тольятти </t>
  </si>
  <si>
    <t>370,0</t>
  </si>
  <si>
    <t>202,5</t>
  </si>
  <si>
    <t>90</t>
  </si>
  <si>
    <t>870,0</t>
  </si>
  <si>
    <t>556,3650</t>
  </si>
  <si>
    <t>970,0</t>
  </si>
  <si>
    <t>545,5280</t>
  </si>
  <si>
    <t>915,0</t>
  </si>
  <si>
    <t>541,3140</t>
  </si>
  <si>
    <t>Открытый Чемпионат Европы
WRPF любители Силовое двоеборье без экипировки ДК
Москва, 8-9 августа 2020 года</t>
  </si>
  <si>
    <t>Путилова Елена</t>
  </si>
  <si>
    <t>Мастера 50-59 (29.11.1965)/54</t>
  </si>
  <si>
    <t xml:space="preserve">RUS/Сухой Лог </t>
  </si>
  <si>
    <t>Шишкин Вадим</t>
  </si>
  <si>
    <t>Юноши 17-19 (08.12.2000)/19</t>
  </si>
  <si>
    <t>59,10</t>
  </si>
  <si>
    <t>Жевнов Никита</t>
  </si>
  <si>
    <t>Юноши 14-16 (29.01.2004)/16</t>
  </si>
  <si>
    <t>72,50</t>
  </si>
  <si>
    <t>Сизенцев Константин</t>
  </si>
  <si>
    <t>Юноши 17-19 (02.12.2000)/19</t>
  </si>
  <si>
    <t>69,40</t>
  </si>
  <si>
    <t xml:space="preserve">Шмадченко А. </t>
  </si>
  <si>
    <t>Сахаров Даниил</t>
  </si>
  <si>
    <t>Юноши 17-19 (22.02.2001)/19</t>
  </si>
  <si>
    <t>97,40</t>
  </si>
  <si>
    <t>Открытый Чемпионат Европы
WRPF любители Силовое двоеборье без экипировки
Москва, 8-9 августа 2020 года</t>
  </si>
  <si>
    <t>Sheikin Aliaksei</t>
  </si>
  <si>
    <t>Открытая (24.03.1988)/32</t>
  </si>
  <si>
    <t xml:space="preserve">BLR/Бобруйск </t>
  </si>
  <si>
    <t>Шмадченко Александр</t>
  </si>
  <si>
    <t>Открытая (26.12.1986)/33</t>
  </si>
  <si>
    <t>Дмитриев Дмитрий</t>
  </si>
  <si>
    <t>Открытая (27.11.1995)/24</t>
  </si>
  <si>
    <t>86,40</t>
  </si>
  <si>
    <t xml:space="preserve">RUS/Рыбинск </t>
  </si>
  <si>
    <t>Капутин Денис</t>
  </si>
  <si>
    <t>Открытая (03.05.1988)/32</t>
  </si>
  <si>
    <t>97,10</t>
  </si>
  <si>
    <t>Смирнов А.</t>
  </si>
  <si>
    <t>Шустров Алексей</t>
  </si>
  <si>
    <t>Открытая (01.09.1976)/43</t>
  </si>
  <si>
    <t>Мастера 40-49 (01.09.1976)/43</t>
  </si>
  <si>
    <t>121,00</t>
  </si>
  <si>
    <t>Лившиц Олег</t>
  </si>
  <si>
    <t>Открытая (03.10.1973)/46</t>
  </si>
  <si>
    <t>125,70</t>
  </si>
  <si>
    <t xml:space="preserve">RUS/Монино </t>
  </si>
  <si>
    <t xml:space="preserve">Весовая </t>
  </si>
  <si>
    <t>540,0</t>
  </si>
  <si>
    <t>307,3680</t>
  </si>
  <si>
    <t>460,0</t>
  </si>
  <si>
    <t>293,6640</t>
  </si>
  <si>
    <t>510,0</t>
  </si>
  <si>
    <t>292,6380</t>
  </si>
  <si>
    <t>Щербакова Елена</t>
  </si>
  <si>
    <t>51,50</t>
  </si>
  <si>
    <t>35,0</t>
  </si>
  <si>
    <t xml:space="preserve">Васильев Б. </t>
  </si>
  <si>
    <t>Мастера 40-49 (14.04.1979)/41</t>
  </si>
  <si>
    <t>Телегина Любовь</t>
  </si>
  <si>
    <t>Открытая (05.08.1985)/35</t>
  </si>
  <si>
    <t>55,50</t>
  </si>
  <si>
    <t xml:space="preserve">Телегин А. </t>
  </si>
  <si>
    <t>66,50</t>
  </si>
  <si>
    <t>Мищенко Артем</t>
  </si>
  <si>
    <t>Открытая (26.06.1984)/36</t>
  </si>
  <si>
    <t>89,50</t>
  </si>
  <si>
    <t xml:space="preserve">Чокаев У. </t>
  </si>
  <si>
    <t xml:space="preserve">RUS/Нальчик </t>
  </si>
  <si>
    <t>Смирнов Леонид</t>
  </si>
  <si>
    <t>Плешков Владимир</t>
  </si>
  <si>
    <t>84,00</t>
  </si>
  <si>
    <t xml:space="preserve">RUS/Калининград </t>
  </si>
  <si>
    <t>87,00</t>
  </si>
  <si>
    <t>99,30</t>
  </si>
  <si>
    <t>Васильев Виктор</t>
  </si>
  <si>
    <t>106,40</t>
  </si>
  <si>
    <t>102,10</t>
  </si>
  <si>
    <t>Шомахов Альберт</t>
  </si>
  <si>
    <t>Мастера 50-59 (08.06.1968)/52</t>
  </si>
  <si>
    <t>81,80</t>
  </si>
  <si>
    <t>Толмачев Александр</t>
  </si>
  <si>
    <t>Открытая (06.01.1984)/36</t>
  </si>
  <si>
    <t xml:space="preserve">RUS/Чехов </t>
  </si>
  <si>
    <t xml:space="preserve">Крылов В. </t>
  </si>
  <si>
    <t>Мокшин Алексей</t>
  </si>
  <si>
    <t>Открытая (07.03.1983)/37</t>
  </si>
  <si>
    <t>107,10</t>
  </si>
  <si>
    <t>74,30</t>
  </si>
  <si>
    <t>Gloss</t>
  </si>
  <si>
    <t xml:space="preserve">RUS/Лосино-Петровский </t>
  </si>
  <si>
    <t xml:space="preserve">Gloss </t>
  </si>
  <si>
    <t>Открытый Чемпионат Европы
WRPF Народный жим 1 вес ДК
Москва, 8-9 августа 2020 года</t>
  </si>
  <si>
    <t>Народный жим</t>
  </si>
  <si>
    <t>Тоннаж</t>
  </si>
  <si>
    <t>Вес</t>
  </si>
  <si>
    <t>Повторы</t>
  </si>
  <si>
    <t>Незнамов Игорь</t>
  </si>
  <si>
    <t>Открытая (05.09.1970)/49</t>
  </si>
  <si>
    <t>58,70</t>
  </si>
  <si>
    <t xml:space="preserve">RUS/Саратов </t>
  </si>
  <si>
    <t>Мастера 40-49 (05.09.1970)/49</t>
  </si>
  <si>
    <t>Быков Сергей</t>
  </si>
  <si>
    <t>Открытая (05.06.1982)/38</t>
  </si>
  <si>
    <t xml:space="preserve">RUS/Козельск </t>
  </si>
  <si>
    <t>Ложешников Сергей</t>
  </si>
  <si>
    <t>Мастера 40-49 (09.07.1978)/42</t>
  </si>
  <si>
    <t>63,30</t>
  </si>
  <si>
    <t xml:space="preserve">RUS/Балашиха </t>
  </si>
  <si>
    <t>Калинин Сергей</t>
  </si>
  <si>
    <t>Мастера 40-49 (19.11.1975)/44</t>
  </si>
  <si>
    <t>Рассказов Геннадий</t>
  </si>
  <si>
    <t>Открытая (04.09.1966)/53</t>
  </si>
  <si>
    <t>Мастера 60+ (29.08.1944)/75</t>
  </si>
  <si>
    <t>Апажев Заур</t>
  </si>
  <si>
    <t>Открытая (22.09.1984)/35</t>
  </si>
  <si>
    <t>97,50</t>
  </si>
  <si>
    <t>Мастера 60+ (09.02.1954)/66</t>
  </si>
  <si>
    <t>Филиппин Андрей</t>
  </si>
  <si>
    <t>Открытая (02.01.1982)/38</t>
  </si>
  <si>
    <t xml:space="preserve">RUS/Кимовск </t>
  </si>
  <si>
    <t>Открытый Чемпионат Европы
WRPF Народный жим 1 вес
Москва, 8-9 августа 2020 года</t>
  </si>
  <si>
    <t>Стрельников Валерий</t>
  </si>
  <si>
    <t>Открытая (25.03.1981)/39</t>
  </si>
  <si>
    <t>69,80</t>
  </si>
  <si>
    <t xml:space="preserve">Заболотников И. </t>
  </si>
  <si>
    <t>Суший Илья</t>
  </si>
  <si>
    <t>Открытая (20.08.1984)/35</t>
  </si>
  <si>
    <t xml:space="preserve">RUS/Северск </t>
  </si>
  <si>
    <t>Яковлев Юрий</t>
  </si>
  <si>
    <t>Открытая (01.06.1973)/47</t>
  </si>
  <si>
    <t>77,05</t>
  </si>
  <si>
    <t xml:space="preserve">Рассказов Г. </t>
  </si>
  <si>
    <t>Заводской Кирилл</t>
  </si>
  <si>
    <t>Открытая (23.08.1992)/27</t>
  </si>
  <si>
    <t>76,00</t>
  </si>
  <si>
    <t xml:space="preserve">RUS/Вологда </t>
  </si>
  <si>
    <t>Манохин Игорь</t>
  </si>
  <si>
    <t>Открытая (20.08.1982)/37</t>
  </si>
  <si>
    <t>91,55</t>
  </si>
  <si>
    <t xml:space="preserve">RUS/Ижевск </t>
  </si>
  <si>
    <t>Манохин И.</t>
  </si>
  <si>
    <t>Хоботнев Владислав</t>
  </si>
  <si>
    <t>Открытая (22.05.1990)/30</t>
  </si>
  <si>
    <t>91,20</t>
  </si>
  <si>
    <t>5735,0</t>
  </si>
  <si>
    <t>3872,2719</t>
  </si>
  <si>
    <t>5775,0</t>
  </si>
  <si>
    <t>3743,3549</t>
  </si>
  <si>
    <t>3177,5</t>
  </si>
  <si>
    <t>2166,7373</t>
  </si>
  <si>
    <t>Открытый Чемпионат Европы
WRPF Народный жим 1/2 веса ДК
Москва, 8-9 августа 2020 года</t>
  </si>
  <si>
    <t>27,5</t>
  </si>
  <si>
    <t>30,0</t>
  </si>
  <si>
    <t>Шуклин Артём</t>
  </si>
  <si>
    <t>Юноши 13-19 (06.09.2008)/11</t>
  </si>
  <si>
    <t>56,80</t>
  </si>
  <si>
    <t xml:space="preserve">RUS/Киров </t>
  </si>
  <si>
    <t>Шуклин М.</t>
  </si>
  <si>
    <t>Быков Николай</t>
  </si>
  <si>
    <t>Мастера 60+ (29.08.1956)/63</t>
  </si>
  <si>
    <t>83,60</t>
  </si>
  <si>
    <t xml:space="preserve">RUS/Верхнеднепровский </t>
  </si>
  <si>
    <t>Мастера 60+ (26.09.1957)/62</t>
  </si>
  <si>
    <t>Гаршин Александр</t>
  </si>
  <si>
    <t>Мастера 60+ (29.06.1954)/66</t>
  </si>
  <si>
    <t>94,60</t>
  </si>
  <si>
    <t>Открытый Чемпионат Европы
WRPF Народный жим 1/2 веса
Москва, 8-9 августа 2020 года</t>
  </si>
  <si>
    <t>Киселев Лев</t>
  </si>
  <si>
    <t>Юноши 13-19 (28.09.2005)/14</t>
  </si>
  <si>
    <t>48,60</t>
  </si>
  <si>
    <t>25,0</t>
  </si>
  <si>
    <t>84,50</t>
  </si>
  <si>
    <t>73,70</t>
  </si>
  <si>
    <t>71,50</t>
  </si>
  <si>
    <t>Мастера 60+ (01.05.1959)/61</t>
  </si>
  <si>
    <t>Юн Сергей</t>
  </si>
  <si>
    <t>Открытая (07.09.1993)/26</t>
  </si>
  <si>
    <t>107,50</t>
  </si>
  <si>
    <t xml:space="preserve">RUS/Воронеж </t>
  </si>
  <si>
    <t>ВЕСОВАЯ КАТЕГОРИЯ   100+</t>
  </si>
  <si>
    <t>15,0</t>
  </si>
  <si>
    <t>Бузовский Иван</t>
  </si>
  <si>
    <t>Открытая (26.08.1995)/24</t>
  </si>
  <si>
    <t>92,40</t>
  </si>
  <si>
    <t xml:space="preserve">RUS/Краснодар </t>
  </si>
  <si>
    <t>Открытый Чемпионат Европы
WSF Подтягивания многоповторные 35кг
Москва, 8-9 августа 2020 года</t>
  </si>
  <si>
    <t>Подтягивания многоповторные</t>
  </si>
  <si>
    <t>Открытый Чемпионат Европы
Подтягивания многоповторные 15кг
Москва, 8-9 августа 2020 года</t>
  </si>
  <si>
    <t>Захарко Тимофей</t>
  </si>
  <si>
    <t>Юниоры 20-23 (01.06.1998)/22</t>
  </si>
  <si>
    <t>Открытая (01.06.1998)/22</t>
  </si>
  <si>
    <t>Открытый Чемпионат Европы
Отжимания многоповторные 50кг
Москва, 8-9 августа 2020 года</t>
  </si>
  <si>
    <t>Отжимания многоповторные</t>
  </si>
  <si>
    <t>Открытый Чемпионат Европы
Отжимания многоповторные 25кг
Москва, 8-9 августа 2020 года</t>
  </si>
  <si>
    <t>Цырулев Александр</t>
  </si>
  <si>
    <t>Мастера 50-59 (02.12.1960)/59</t>
  </si>
  <si>
    <t>58,30</t>
  </si>
  <si>
    <t xml:space="preserve">RUS/Перевоз </t>
  </si>
  <si>
    <t>Гордеочук Александр</t>
  </si>
  <si>
    <t>Открытая (07.10.2003)/16</t>
  </si>
  <si>
    <t>67,90</t>
  </si>
  <si>
    <t xml:space="preserve">Сон А. </t>
  </si>
  <si>
    <t>Открытый Чемпионат Европы
Отжимания многоповторные 15кг
Москва, 8-9 августа 2020 года</t>
  </si>
  <si>
    <t>Мишка Валерия</t>
  </si>
  <si>
    <t>Открытая (17.11.1990)/29</t>
  </si>
  <si>
    <t>69,35</t>
  </si>
  <si>
    <t>Открытый Чемпионат Европы
Подтягивания многоповторные 10кг
Москва, 8-9 августа 2020 года</t>
  </si>
  <si>
    <t>Афонин Андрей</t>
  </si>
  <si>
    <t>Юноши 13-19 (28.01.2005)/15</t>
  </si>
  <si>
    <t>10,0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</si>
</sst>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b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49" fontId="0" fillId="0" borderId="1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65" fontId="0" fillId="0" borderId="7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U85"/>
  <sheetViews>
    <sheetView topLeftCell="A16" workbookViewId="0">
      <selection activeCell="B33" sqref="B33"/>
    </sheetView>
  </sheetViews>
  <sheetFormatPr baseColWidth="10" defaultColWidth="9.140625" defaultRowHeight="12.75" x14ac:dyDescent="0.2"/>
  <cols>
    <col min="1" max="1" width="7.42578125" style="6" bestFit="1" customWidth="1"/>
    <col min="2" max="2" width="19.42578125" style="5" bestFit="1" customWidth="1"/>
    <col min="3" max="3" width="27.42578125" style="3" bestFit="1" customWidth="1"/>
    <col min="4" max="4" width="21.42578125" style="3" bestFit="1" customWidth="1"/>
    <col min="5" max="5" width="10.42578125" style="3" bestFit="1" customWidth="1"/>
    <col min="6" max="6" width="22.42578125" style="3" bestFit="1" customWidth="1"/>
    <col min="7" max="9" width="5.42578125" style="2" customWidth="1"/>
    <col min="10" max="10" width="4.85546875" style="2" customWidth="1"/>
    <col min="11" max="13" width="5.42578125" style="2" customWidth="1"/>
    <col min="14" max="14" width="4.85546875" style="2" customWidth="1"/>
    <col min="15" max="18" width="5.42578125" style="2" customWidth="1"/>
    <col min="19" max="19" width="7.85546875" style="32" bestFit="1" customWidth="1"/>
    <col min="20" max="20" width="8.42578125" style="2" bestFit="1" customWidth="1"/>
    <col min="21" max="21" width="17" style="3" bestFit="1" customWidth="1"/>
    <col min="22" max="16384" width="9.140625" style="3"/>
  </cols>
  <sheetData>
    <row r="1" spans="1:21" s="2" customFormat="1" ht="29.1" customHeight="1" x14ac:dyDescent="0.2">
      <c r="A1" s="58" t="s">
        <v>0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5</v>
      </c>
      <c r="F3" s="52" t="s">
        <v>6</v>
      </c>
      <c r="G3" s="52" t="s">
        <v>7</v>
      </c>
      <c r="H3" s="52"/>
      <c r="I3" s="52"/>
      <c r="J3" s="52"/>
      <c r="K3" s="52" t="s">
        <v>8</v>
      </c>
      <c r="L3" s="52"/>
      <c r="M3" s="52"/>
      <c r="N3" s="52"/>
      <c r="O3" s="52" t="s">
        <v>9</v>
      </c>
      <c r="P3" s="52"/>
      <c r="Q3" s="52"/>
      <c r="R3" s="52"/>
      <c r="S3" s="50" t="s">
        <v>10</v>
      </c>
      <c r="T3" s="52" t="s">
        <v>11</v>
      </c>
      <c r="U3" s="54" t="s">
        <v>12</v>
      </c>
    </row>
    <row r="4" spans="1:21" s="1" customFormat="1" ht="21" customHeight="1" thickBot="1" x14ac:dyDescent="0.25">
      <c r="A4" s="66"/>
      <c r="B4" s="57"/>
      <c r="C4" s="53"/>
      <c r="D4" s="53"/>
      <c r="E4" s="53"/>
      <c r="F4" s="53"/>
      <c r="G4" s="46">
        <v>1</v>
      </c>
      <c r="H4" s="46">
        <v>2</v>
      </c>
      <c r="I4" s="46">
        <v>3</v>
      </c>
      <c r="J4" s="46" t="s">
        <v>13</v>
      </c>
      <c r="K4" s="46">
        <v>1</v>
      </c>
      <c r="L4" s="46">
        <v>2</v>
      </c>
      <c r="M4" s="46">
        <v>3</v>
      </c>
      <c r="N4" s="46" t="s">
        <v>13</v>
      </c>
      <c r="O4" s="46">
        <v>1</v>
      </c>
      <c r="P4" s="46">
        <v>2</v>
      </c>
      <c r="Q4" s="46">
        <v>3</v>
      </c>
      <c r="R4" s="46" t="s">
        <v>13</v>
      </c>
      <c r="S4" s="51"/>
      <c r="T4" s="53"/>
      <c r="U4" s="55"/>
    </row>
    <row r="5" spans="1:21" ht="15" x14ac:dyDescent="0.2">
      <c r="A5" s="49" t="s">
        <v>14</v>
      </c>
      <c r="B5" s="4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 x14ac:dyDescent="0.2">
      <c r="A6" s="28" t="s">
        <v>15</v>
      </c>
      <c r="B6" s="17" t="s">
        <v>16</v>
      </c>
      <c r="C6" s="11" t="s">
        <v>17</v>
      </c>
      <c r="D6" s="11" t="s">
        <v>18</v>
      </c>
      <c r="E6" s="11" t="str">
        <f>"1,2578"</f>
        <v>1,2578</v>
      </c>
      <c r="F6" s="11" t="s">
        <v>19</v>
      </c>
      <c r="G6" s="20" t="s">
        <v>20</v>
      </c>
      <c r="H6" s="20" t="s">
        <v>21</v>
      </c>
      <c r="I6" s="20" t="s">
        <v>22</v>
      </c>
      <c r="J6" s="14"/>
      <c r="K6" s="20" t="s">
        <v>23</v>
      </c>
      <c r="L6" s="22" t="s">
        <v>24</v>
      </c>
      <c r="M6" s="22" t="s">
        <v>24</v>
      </c>
      <c r="N6" s="14"/>
      <c r="O6" s="20" t="s">
        <v>22</v>
      </c>
      <c r="P6" s="20" t="s">
        <v>25</v>
      </c>
      <c r="Q6" s="20" t="s">
        <v>26</v>
      </c>
      <c r="R6" s="14"/>
      <c r="S6" s="33" t="str">
        <f>"237,5"</f>
        <v>237,5</v>
      </c>
      <c r="T6" s="14" t="str">
        <f>"298,7275"</f>
        <v>298,7275</v>
      </c>
      <c r="U6" s="11" t="s">
        <v>27</v>
      </c>
    </row>
    <row r="7" spans="1:21" x14ac:dyDescent="0.2">
      <c r="A7" s="29" t="s">
        <v>15</v>
      </c>
      <c r="B7" s="18" t="s">
        <v>28</v>
      </c>
      <c r="C7" s="12" t="s">
        <v>29</v>
      </c>
      <c r="D7" s="12" t="s">
        <v>30</v>
      </c>
      <c r="E7" s="12" t="str">
        <f>"1,2504"</f>
        <v>1,2504</v>
      </c>
      <c r="F7" s="12" t="s">
        <v>31</v>
      </c>
      <c r="G7" s="23" t="s">
        <v>32</v>
      </c>
      <c r="H7" s="24" t="s">
        <v>22</v>
      </c>
      <c r="I7" s="23" t="s">
        <v>33</v>
      </c>
      <c r="J7" s="15"/>
      <c r="K7" s="23" t="s">
        <v>34</v>
      </c>
      <c r="L7" s="23" t="s">
        <v>35</v>
      </c>
      <c r="M7" s="24" t="s">
        <v>36</v>
      </c>
      <c r="N7" s="15"/>
      <c r="O7" s="23" t="s">
        <v>37</v>
      </c>
      <c r="P7" s="23" t="s">
        <v>38</v>
      </c>
      <c r="Q7" s="23" t="s">
        <v>39</v>
      </c>
      <c r="R7" s="15"/>
      <c r="S7" s="34" t="str">
        <f>"260,0"</f>
        <v>260,0</v>
      </c>
      <c r="T7" s="15" t="str">
        <f>"325,1040"</f>
        <v>325,1040</v>
      </c>
      <c r="U7" s="12" t="s">
        <v>40</v>
      </c>
    </row>
    <row r="8" spans="1:21" x14ac:dyDescent="0.2">
      <c r="A8" s="29" t="s">
        <v>41</v>
      </c>
      <c r="B8" s="18" t="s">
        <v>16</v>
      </c>
      <c r="C8" s="12" t="s">
        <v>42</v>
      </c>
      <c r="D8" s="12" t="s">
        <v>18</v>
      </c>
      <c r="E8" s="12" t="str">
        <f>"1,2578"</f>
        <v>1,2578</v>
      </c>
      <c r="F8" s="12" t="s">
        <v>19</v>
      </c>
      <c r="G8" s="23" t="s">
        <v>20</v>
      </c>
      <c r="H8" s="23" t="s">
        <v>21</v>
      </c>
      <c r="I8" s="23" t="s">
        <v>22</v>
      </c>
      <c r="J8" s="15"/>
      <c r="K8" s="23" t="s">
        <v>23</v>
      </c>
      <c r="L8" s="24" t="s">
        <v>24</v>
      </c>
      <c r="M8" s="24" t="s">
        <v>24</v>
      </c>
      <c r="N8" s="15"/>
      <c r="O8" s="23" t="s">
        <v>22</v>
      </c>
      <c r="P8" s="23" t="s">
        <v>25</v>
      </c>
      <c r="Q8" s="23" t="s">
        <v>26</v>
      </c>
      <c r="R8" s="15"/>
      <c r="S8" s="34" t="str">
        <f>"237,5"</f>
        <v>237,5</v>
      </c>
      <c r="T8" s="15" t="str">
        <f>"298,7275"</f>
        <v>298,7275</v>
      </c>
      <c r="U8" s="12" t="s">
        <v>27</v>
      </c>
    </row>
    <row r="9" spans="1:21" x14ac:dyDescent="0.2">
      <c r="A9" s="30" t="s">
        <v>43</v>
      </c>
      <c r="B9" s="19" t="s">
        <v>44</v>
      </c>
      <c r="C9" s="13" t="s">
        <v>45</v>
      </c>
      <c r="D9" s="13" t="s">
        <v>46</v>
      </c>
      <c r="E9" s="13" t="str">
        <f>"1,2769"</f>
        <v>1,2769</v>
      </c>
      <c r="F9" s="13" t="s">
        <v>47</v>
      </c>
      <c r="G9" s="21" t="s">
        <v>48</v>
      </c>
      <c r="H9" s="21" t="s">
        <v>49</v>
      </c>
      <c r="I9" s="25" t="s">
        <v>32</v>
      </c>
      <c r="J9" s="16"/>
      <c r="K9" s="21" t="s">
        <v>34</v>
      </c>
      <c r="L9" s="21" t="s">
        <v>36</v>
      </c>
      <c r="M9" s="25" t="s">
        <v>23</v>
      </c>
      <c r="N9" s="16"/>
      <c r="O9" s="21" t="s">
        <v>32</v>
      </c>
      <c r="P9" s="21" t="s">
        <v>33</v>
      </c>
      <c r="Q9" s="21" t="s">
        <v>26</v>
      </c>
      <c r="R9" s="16"/>
      <c r="S9" s="35" t="str">
        <f>"225,0"</f>
        <v>225,0</v>
      </c>
      <c r="T9" s="16" t="str">
        <f>"287,3025"</f>
        <v>287,3025</v>
      </c>
      <c r="U9" s="13" t="s">
        <v>50</v>
      </c>
    </row>
    <row r="10" spans="1:21" x14ac:dyDescent="0.2">
      <c r="B10" s="5" t="s">
        <v>51</v>
      </c>
    </row>
    <row r="11" spans="1:21" ht="15" x14ac:dyDescent="0.2">
      <c r="A11" s="49" t="s">
        <v>52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 x14ac:dyDescent="0.2">
      <c r="A12" s="28" t="s">
        <v>15</v>
      </c>
      <c r="B12" s="17" t="s">
        <v>53</v>
      </c>
      <c r="C12" s="11" t="s">
        <v>54</v>
      </c>
      <c r="D12" s="11" t="s">
        <v>55</v>
      </c>
      <c r="E12" s="11" t="str">
        <f>"1,1900"</f>
        <v>1,1900</v>
      </c>
      <c r="F12" s="11" t="s">
        <v>56</v>
      </c>
      <c r="G12" s="20" t="s">
        <v>57</v>
      </c>
      <c r="H12" s="20" t="s">
        <v>37</v>
      </c>
      <c r="I12" s="22" t="s">
        <v>38</v>
      </c>
      <c r="J12" s="14"/>
      <c r="K12" s="20" t="s">
        <v>58</v>
      </c>
      <c r="L12" s="20" t="s">
        <v>59</v>
      </c>
      <c r="M12" s="20" t="s">
        <v>60</v>
      </c>
      <c r="N12" s="14"/>
      <c r="O12" s="20" t="s">
        <v>61</v>
      </c>
      <c r="P12" s="20" t="s">
        <v>62</v>
      </c>
      <c r="Q12" s="22" t="s">
        <v>63</v>
      </c>
      <c r="R12" s="14"/>
      <c r="S12" s="33" t="str">
        <f>"330,0"</f>
        <v>330,0</v>
      </c>
      <c r="T12" s="14" t="str">
        <f>"392,7000"</f>
        <v>392,7000</v>
      </c>
      <c r="U12" s="11" t="s">
        <v>64</v>
      </c>
    </row>
    <row r="13" spans="1:21" x14ac:dyDescent="0.2">
      <c r="A13" s="29" t="s">
        <v>41</v>
      </c>
      <c r="B13" s="18" t="s">
        <v>65</v>
      </c>
      <c r="C13" s="12" t="s">
        <v>66</v>
      </c>
      <c r="D13" s="12" t="s">
        <v>67</v>
      </c>
      <c r="E13" s="12" t="str">
        <f>"1,2230"</f>
        <v>1,2230</v>
      </c>
      <c r="F13" s="12" t="s">
        <v>47</v>
      </c>
      <c r="G13" s="23" t="s">
        <v>68</v>
      </c>
      <c r="H13" s="24" t="s">
        <v>20</v>
      </c>
      <c r="I13" s="23" t="s">
        <v>20</v>
      </c>
      <c r="J13" s="15"/>
      <c r="K13" s="23" t="s">
        <v>24</v>
      </c>
      <c r="L13" s="24" t="s">
        <v>69</v>
      </c>
      <c r="M13" s="24" t="s">
        <v>69</v>
      </c>
      <c r="N13" s="15"/>
      <c r="O13" s="23" t="s">
        <v>32</v>
      </c>
      <c r="P13" s="23" t="s">
        <v>22</v>
      </c>
      <c r="Q13" s="24" t="s">
        <v>25</v>
      </c>
      <c r="R13" s="15"/>
      <c r="S13" s="34" t="str">
        <f>"222,5"</f>
        <v>222,5</v>
      </c>
      <c r="T13" s="15" t="str">
        <f>"272,1175"</f>
        <v>272,1175</v>
      </c>
      <c r="U13" s="12" t="s">
        <v>70</v>
      </c>
    </row>
    <row r="14" spans="1:21" x14ac:dyDescent="0.2">
      <c r="A14" s="30" t="s">
        <v>43</v>
      </c>
      <c r="B14" s="19" t="s">
        <v>71</v>
      </c>
      <c r="C14" s="13" t="s">
        <v>72</v>
      </c>
      <c r="D14" s="13" t="s">
        <v>73</v>
      </c>
      <c r="E14" s="13" t="str">
        <f>"1,1883"</f>
        <v>1,1883</v>
      </c>
      <c r="F14" s="13" t="s">
        <v>74</v>
      </c>
      <c r="G14" s="21" t="s">
        <v>36</v>
      </c>
      <c r="H14" s="21" t="s">
        <v>24</v>
      </c>
      <c r="I14" s="21" t="s">
        <v>75</v>
      </c>
      <c r="J14" s="16"/>
      <c r="K14" s="21" t="s">
        <v>34</v>
      </c>
      <c r="L14" s="21" t="s">
        <v>35</v>
      </c>
      <c r="M14" s="25" t="s">
        <v>36</v>
      </c>
      <c r="N14" s="16"/>
      <c r="O14" s="21" t="s">
        <v>48</v>
      </c>
      <c r="P14" s="21" t="s">
        <v>49</v>
      </c>
      <c r="Q14" s="21" t="s">
        <v>32</v>
      </c>
      <c r="R14" s="16"/>
      <c r="S14" s="35" t="str">
        <f>"182,5"</f>
        <v>182,5</v>
      </c>
      <c r="T14" s="16" t="str">
        <f>"216,8648"</f>
        <v>216,8648</v>
      </c>
      <c r="U14" s="13" t="s">
        <v>76</v>
      </c>
    </row>
    <row r="15" spans="1:21" x14ac:dyDescent="0.2">
      <c r="B15" s="5" t="s">
        <v>51</v>
      </c>
    </row>
    <row r="16" spans="1:21" ht="15" x14ac:dyDescent="0.2">
      <c r="A16" s="49" t="s">
        <v>77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21" x14ac:dyDescent="0.2">
      <c r="A17" s="28" t="s">
        <v>15</v>
      </c>
      <c r="B17" s="17" t="s">
        <v>78</v>
      </c>
      <c r="C17" s="11" t="s">
        <v>79</v>
      </c>
      <c r="D17" s="11" t="s">
        <v>80</v>
      </c>
      <c r="E17" s="11" t="str">
        <f>"1,0283"</f>
        <v>1,0283</v>
      </c>
      <c r="F17" s="11" t="s">
        <v>47</v>
      </c>
      <c r="G17" s="22" t="s">
        <v>38</v>
      </c>
      <c r="H17" s="20" t="s">
        <v>39</v>
      </c>
      <c r="I17" s="20" t="s">
        <v>81</v>
      </c>
      <c r="J17" s="14"/>
      <c r="K17" s="20" t="s">
        <v>26</v>
      </c>
      <c r="L17" s="20" t="s">
        <v>82</v>
      </c>
      <c r="M17" s="22" t="s">
        <v>57</v>
      </c>
      <c r="N17" s="14"/>
      <c r="O17" s="20" t="s">
        <v>81</v>
      </c>
      <c r="P17" s="20" t="s">
        <v>83</v>
      </c>
      <c r="Q17" s="20" t="s">
        <v>84</v>
      </c>
      <c r="R17" s="14"/>
      <c r="S17" s="33" t="str">
        <f>"385,0"</f>
        <v>385,0</v>
      </c>
      <c r="T17" s="14" t="str">
        <f>"395,8955"</f>
        <v>395,8955</v>
      </c>
      <c r="U17" s="11" t="s">
        <v>85</v>
      </c>
    </row>
    <row r="18" spans="1:21" x14ac:dyDescent="0.2">
      <c r="A18" s="29" t="s">
        <v>41</v>
      </c>
      <c r="B18" s="18" t="s">
        <v>86</v>
      </c>
      <c r="C18" s="12" t="s">
        <v>87</v>
      </c>
      <c r="D18" s="12" t="s">
        <v>88</v>
      </c>
      <c r="E18" s="12" t="str">
        <f>"1,0306"</f>
        <v>1,0306</v>
      </c>
      <c r="F18" s="12" t="s">
        <v>47</v>
      </c>
      <c r="G18" s="23" t="s">
        <v>39</v>
      </c>
      <c r="H18" s="23" t="s">
        <v>89</v>
      </c>
      <c r="I18" s="15"/>
      <c r="J18" s="15"/>
      <c r="K18" s="23" t="s">
        <v>90</v>
      </c>
      <c r="L18" s="23" t="s">
        <v>58</v>
      </c>
      <c r="M18" s="15"/>
      <c r="N18" s="15"/>
      <c r="O18" s="23" t="s">
        <v>38</v>
      </c>
      <c r="P18" s="23" t="s">
        <v>91</v>
      </c>
      <c r="Q18" s="24" t="s">
        <v>61</v>
      </c>
      <c r="R18" s="15"/>
      <c r="S18" s="34" t="str">
        <f>"325,0"</f>
        <v>325,0</v>
      </c>
      <c r="T18" s="15" t="str">
        <f>"334,9450"</f>
        <v>334,9450</v>
      </c>
      <c r="U18" s="12" t="s">
        <v>64</v>
      </c>
    </row>
    <row r="19" spans="1:21" x14ac:dyDescent="0.2">
      <c r="A19" s="29" t="s">
        <v>92</v>
      </c>
      <c r="B19" s="18" t="s">
        <v>93</v>
      </c>
      <c r="C19" s="12" t="s">
        <v>94</v>
      </c>
      <c r="D19" s="12" t="s">
        <v>95</v>
      </c>
      <c r="E19" s="12" t="str">
        <f>"1,0871"</f>
        <v>1,0871</v>
      </c>
      <c r="F19" s="12" t="s">
        <v>96</v>
      </c>
      <c r="G19" s="24" t="s">
        <v>57</v>
      </c>
      <c r="H19" s="23" t="s">
        <v>57</v>
      </c>
      <c r="I19" s="24" t="s">
        <v>37</v>
      </c>
      <c r="J19" s="15"/>
      <c r="K19" s="23" t="s">
        <v>90</v>
      </c>
      <c r="L19" s="23" t="s">
        <v>58</v>
      </c>
      <c r="M19" s="23" t="s">
        <v>60</v>
      </c>
      <c r="N19" s="15"/>
      <c r="O19" s="24" t="s">
        <v>84</v>
      </c>
      <c r="P19" s="24" t="s">
        <v>84</v>
      </c>
      <c r="Q19" s="24" t="s">
        <v>84</v>
      </c>
      <c r="R19" s="15"/>
      <c r="S19" s="34">
        <v>0</v>
      </c>
      <c r="T19" s="15" t="str">
        <f>"0,0000"</f>
        <v>0,0000</v>
      </c>
      <c r="U19" s="12" t="s">
        <v>97</v>
      </c>
    </row>
    <row r="20" spans="1:21" x14ac:dyDescent="0.2">
      <c r="A20" s="30" t="s">
        <v>92</v>
      </c>
      <c r="B20" s="19" t="s">
        <v>98</v>
      </c>
      <c r="C20" s="13" t="s">
        <v>99</v>
      </c>
      <c r="D20" s="13" t="s">
        <v>100</v>
      </c>
      <c r="E20" s="13" t="str">
        <f>"1,0491"</f>
        <v>1,0491</v>
      </c>
      <c r="F20" s="13" t="s">
        <v>101</v>
      </c>
      <c r="G20" s="21" t="s">
        <v>37</v>
      </c>
      <c r="H20" s="21" t="s">
        <v>38</v>
      </c>
      <c r="I20" s="25" t="s">
        <v>39</v>
      </c>
      <c r="J20" s="16"/>
      <c r="K20" s="25" t="s">
        <v>58</v>
      </c>
      <c r="L20" s="25" t="s">
        <v>58</v>
      </c>
      <c r="M20" s="25" t="s">
        <v>58</v>
      </c>
      <c r="N20" s="16"/>
      <c r="O20" s="25"/>
      <c r="P20" s="16"/>
      <c r="Q20" s="16"/>
      <c r="R20" s="16"/>
      <c r="S20" s="35">
        <v>0</v>
      </c>
      <c r="T20" s="16" t="str">
        <f>"0,0000"</f>
        <v>0,0000</v>
      </c>
      <c r="U20" s="13" t="s">
        <v>64</v>
      </c>
    </row>
    <row r="21" spans="1:21" x14ac:dyDescent="0.2">
      <c r="B21" s="5" t="s">
        <v>51</v>
      </c>
    </row>
    <row r="22" spans="1:21" ht="15" x14ac:dyDescent="0.2">
      <c r="A22" s="49" t="s">
        <v>102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21" x14ac:dyDescent="0.2">
      <c r="A23" s="28" t="s">
        <v>15</v>
      </c>
      <c r="B23" s="17" t="s">
        <v>103</v>
      </c>
      <c r="C23" s="11" t="s">
        <v>104</v>
      </c>
      <c r="D23" s="11" t="s">
        <v>105</v>
      </c>
      <c r="E23" s="11" t="str">
        <f>"0,9522"</f>
        <v>0,9522</v>
      </c>
      <c r="F23" s="11" t="s">
        <v>106</v>
      </c>
      <c r="G23" s="20" t="s">
        <v>38</v>
      </c>
      <c r="H23" s="20" t="s">
        <v>81</v>
      </c>
      <c r="I23" s="20" t="s">
        <v>61</v>
      </c>
      <c r="J23" s="14"/>
      <c r="K23" s="20" t="s">
        <v>75</v>
      </c>
      <c r="L23" s="20" t="s">
        <v>90</v>
      </c>
      <c r="M23" s="22" t="s">
        <v>58</v>
      </c>
      <c r="N23" s="14"/>
      <c r="O23" s="20" t="s">
        <v>83</v>
      </c>
      <c r="P23" s="22" t="s">
        <v>107</v>
      </c>
      <c r="Q23" s="20" t="s">
        <v>107</v>
      </c>
      <c r="R23" s="14"/>
      <c r="S23" s="33" t="str">
        <f>"342,5"</f>
        <v>342,5</v>
      </c>
      <c r="T23" s="14" t="str">
        <f>"326,1285"</f>
        <v>326,1285</v>
      </c>
      <c r="U23" s="11" t="s">
        <v>108</v>
      </c>
    </row>
    <row r="24" spans="1:21" x14ac:dyDescent="0.2">
      <c r="A24" s="29" t="s">
        <v>41</v>
      </c>
      <c r="B24" s="18" t="s">
        <v>109</v>
      </c>
      <c r="C24" s="12" t="s">
        <v>110</v>
      </c>
      <c r="D24" s="12" t="s">
        <v>111</v>
      </c>
      <c r="E24" s="12" t="str">
        <f>"0,9760"</f>
        <v>0,9760</v>
      </c>
      <c r="F24" s="12" t="s">
        <v>112</v>
      </c>
      <c r="G24" s="23" t="s">
        <v>37</v>
      </c>
      <c r="H24" s="23" t="s">
        <v>39</v>
      </c>
      <c r="I24" s="23" t="s">
        <v>81</v>
      </c>
      <c r="J24" s="15"/>
      <c r="K24" s="23" t="s">
        <v>113</v>
      </c>
      <c r="L24" s="24" t="s">
        <v>114</v>
      </c>
      <c r="M24" s="24" t="s">
        <v>114</v>
      </c>
      <c r="N24" s="15"/>
      <c r="O24" s="23" t="s">
        <v>81</v>
      </c>
      <c r="P24" s="24" t="s">
        <v>61</v>
      </c>
      <c r="Q24" s="24" t="s">
        <v>61</v>
      </c>
      <c r="R24" s="15"/>
      <c r="S24" s="34" t="str">
        <f>"317,5"</f>
        <v>317,5</v>
      </c>
      <c r="T24" s="15" t="str">
        <f>"309,8800"</f>
        <v>309,8800</v>
      </c>
      <c r="U24" s="12" t="s">
        <v>115</v>
      </c>
    </row>
    <row r="25" spans="1:21" x14ac:dyDescent="0.2">
      <c r="A25" s="30" t="s">
        <v>43</v>
      </c>
      <c r="B25" s="19" t="s">
        <v>116</v>
      </c>
      <c r="C25" s="13" t="s">
        <v>117</v>
      </c>
      <c r="D25" s="13" t="s">
        <v>118</v>
      </c>
      <c r="E25" s="13" t="str">
        <f>"0,9843"</f>
        <v>0,9843</v>
      </c>
      <c r="F25" s="13" t="s">
        <v>47</v>
      </c>
      <c r="G25" s="25" t="s">
        <v>113</v>
      </c>
      <c r="H25" s="21" t="s">
        <v>90</v>
      </c>
      <c r="I25" s="21" t="s">
        <v>114</v>
      </c>
      <c r="J25" s="16"/>
      <c r="K25" s="25" t="s">
        <v>119</v>
      </c>
      <c r="L25" s="25" t="s">
        <v>34</v>
      </c>
      <c r="M25" s="21" t="s">
        <v>34</v>
      </c>
      <c r="N25" s="16"/>
      <c r="O25" s="21" t="s">
        <v>114</v>
      </c>
      <c r="P25" s="21" t="s">
        <v>59</v>
      </c>
      <c r="Q25" s="21" t="s">
        <v>120</v>
      </c>
      <c r="R25" s="16"/>
      <c r="S25" s="35" t="str">
        <f>"175,0"</f>
        <v>175,0</v>
      </c>
      <c r="T25" s="16" t="str">
        <f>"172,2525"</f>
        <v>172,2525</v>
      </c>
      <c r="U25" s="13" t="s">
        <v>64</v>
      </c>
    </row>
    <row r="26" spans="1:21" x14ac:dyDescent="0.2">
      <c r="B26" s="5" t="s">
        <v>51</v>
      </c>
    </row>
    <row r="27" spans="1:21" ht="15" x14ac:dyDescent="0.2">
      <c r="A27" s="49" t="s">
        <v>77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21" x14ac:dyDescent="0.2">
      <c r="A28" s="28" t="s">
        <v>15</v>
      </c>
      <c r="B28" s="17" t="s">
        <v>121</v>
      </c>
      <c r="C28" s="11" t="s">
        <v>122</v>
      </c>
      <c r="D28" s="11" t="s">
        <v>123</v>
      </c>
      <c r="E28" s="11" t="str">
        <f>"0,7738"</f>
        <v>0,7738</v>
      </c>
      <c r="F28" s="11" t="s">
        <v>124</v>
      </c>
      <c r="G28" s="20" t="s">
        <v>61</v>
      </c>
      <c r="H28" s="20" t="s">
        <v>84</v>
      </c>
      <c r="I28" s="20" t="s">
        <v>125</v>
      </c>
      <c r="J28" s="14"/>
      <c r="K28" s="22" t="s">
        <v>26</v>
      </c>
      <c r="L28" s="20" t="s">
        <v>57</v>
      </c>
      <c r="M28" s="22" t="s">
        <v>126</v>
      </c>
      <c r="N28" s="14"/>
      <c r="O28" s="22" t="s">
        <v>127</v>
      </c>
      <c r="P28" s="20" t="s">
        <v>128</v>
      </c>
      <c r="Q28" s="20" t="s">
        <v>129</v>
      </c>
      <c r="R28" s="22" t="s">
        <v>130</v>
      </c>
      <c r="S28" s="33" t="str">
        <f>"495,0"</f>
        <v>495,0</v>
      </c>
      <c r="T28" s="14" t="str">
        <f>"383,0310"</f>
        <v>383,0310</v>
      </c>
      <c r="U28" s="11" t="s">
        <v>64</v>
      </c>
    </row>
    <row r="29" spans="1:21" x14ac:dyDescent="0.2">
      <c r="A29" s="30" t="s">
        <v>41</v>
      </c>
      <c r="B29" s="19" t="s">
        <v>131</v>
      </c>
      <c r="C29" s="13" t="s">
        <v>132</v>
      </c>
      <c r="D29" s="13" t="s">
        <v>133</v>
      </c>
      <c r="E29" s="13" t="str">
        <f>"0,7911"</f>
        <v>0,7911</v>
      </c>
      <c r="F29" s="13" t="s">
        <v>134</v>
      </c>
      <c r="G29" s="21" t="s">
        <v>62</v>
      </c>
      <c r="H29" s="25" t="s">
        <v>125</v>
      </c>
      <c r="I29" s="21" t="s">
        <v>125</v>
      </c>
      <c r="J29" s="16"/>
      <c r="K29" s="21" t="s">
        <v>25</v>
      </c>
      <c r="L29" s="25" t="s">
        <v>26</v>
      </c>
      <c r="M29" s="21" t="s">
        <v>26</v>
      </c>
      <c r="N29" s="16"/>
      <c r="O29" s="25" t="s">
        <v>135</v>
      </c>
      <c r="P29" s="21" t="s">
        <v>135</v>
      </c>
      <c r="Q29" s="21" t="s">
        <v>136</v>
      </c>
      <c r="R29" s="16"/>
      <c r="S29" s="35" t="str">
        <f>"455,0"</f>
        <v>455,0</v>
      </c>
      <c r="T29" s="16" t="str">
        <f>"359,9505"</f>
        <v>359,9505</v>
      </c>
      <c r="U29" s="13" t="s">
        <v>64</v>
      </c>
    </row>
    <row r="30" spans="1:21" x14ac:dyDescent="0.2">
      <c r="B30" s="5" t="s">
        <v>51</v>
      </c>
    </row>
    <row r="31" spans="1:21" ht="15" x14ac:dyDescent="0.2">
      <c r="A31" s="49" t="s">
        <v>102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1:21" x14ac:dyDescent="0.2">
      <c r="A32" s="28" t="s">
        <v>15</v>
      </c>
      <c r="B32" s="17" t="s">
        <v>137</v>
      </c>
      <c r="C32" s="11" t="s">
        <v>138</v>
      </c>
      <c r="D32" s="11" t="s">
        <v>139</v>
      </c>
      <c r="E32" s="11" t="str">
        <f>"0,7278"</f>
        <v>0,7278</v>
      </c>
      <c r="F32" s="11" t="s">
        <v>47</v>
      </c>
      <c r="G32" s="20" t="s">
        <v>57</v>
      </c>
      <c r="H32" s="20" t="s">
        <v>38</v>
      </c>
      <c r="I32" s="20" t="s">
        <v>81</v>
      </c>
      <c r="J32" s="14"/>
      <c r="K32" s="20" t="s">
        <v>114</v>
      </c>
      <c r="L32" s="20" t="s">
        <v>60</v>
      </c>
      <c r="M32" s="22" t="s">
        <v>48</v>
      </c>
      <c r="N32" s="14"/>
      <c r="O32" s="20" t="s">
        <v>57</v>
      </c>
      <c r="P32" s="20" t="s">
        <v>38</v>
      </c>
      <c r="Q32" s="20" t="s">
        <v>81</v>
      </c>
      <c r="R32" s="14"/>
      <c r="S32" s="33" t="str">
        <f>"330,0"</f>
        <v>330,0</v>
      </c>
      <c r="T32" s="14" t="str">
        <f>"240,1740"</f>
        <v>240,1740</v>
      </c>
      <c r="U32" s="11" t="s">
        <v>140</v>
      </c>
    </row>
    <row r="33" spans="1:21" x14ac:dyDescent="0.2">
      <c r="A33" s="48" t="s">
        <v>141</v>
      </c>
      <c r="B33" s="18" t="s">
        <v>142</v>
      </c>
      <c r="C33" s="12" t="s">
        <v>143</v>
      </c>
      <c r="D33" s="12" t="s">
        <v>144</v>
      </c>
      <c r="E33" s="12" t="str">
        <f>"0,7235"</f>
        <v>0,7235</v>
      </c>
      <c r="F33" s="12" t="s">
        <v>145</v>
      </c>
      <c r="G33" s="23" t="s">
        <v>146</v>
      </c>
      <c r="H33" s="23" t="s">
        <v>147</v>
      </c>
      <c r="I33" s="23" t="s">
        <v>148</v>
      </c>
      <c r="J33" s="15"/>
      <c r="K33" s="23" t="s">
        <v>83</v>
      </c>
      <c r="L33" s="24" t="s">
        <v>62</v>
      </c>
      <c r="M33" s="24" t="s">
        <v>62</v>
      </c>
      <c r="N33" s="15"/>
      <c r="O33" s="23" t="s">
        <v>127</v>
      </c>
      <c r="P33" s="23" t="s">
        <v>149</v>
      </c>
      <c r="Q33" s="23" t="s">
        <v>150</v>
      </c>
      <c r="R33" s="15"/>
      <c r="S33" s="34" t="str">
        <f>"557,5"</f>
        <v>557,5</v>
      </c>
      <c r="T33" s="15" t="str">
        <f>"403,3513"</f>
        <v>403,3513</v>
      </c>
      <c r="U33" s="12" t="s">
        <v>151</v>
      </c>
    </row>
    <row r="34" spans="1:21" x14ac:dyDescent="0.2">
      <c r="A34" s="29" t="s">
        <v>15</v>
      </c>
      <c r="B34" s="18" t="s">
        <v>152</v>
      </c>
      <c r="C34" s="12" t="s">
        <v>153</v>
      </c>
      <c r="D34" s="12" t="s">
        <v>144</v>
      </c>
      <c r="E34" s="12" t="str">
        <f>"0,7235"</f>
        <v>0,7235</v>
      </c>
      <c r="F34" s="12" t="s">
        <v>154</v>
      </c>
      <c r="G34" s="23" t="s">
        <v>155</v>
      </c>
      <c r="H34" s="23" t="s">
        <v>146</v>
      </c>
      <c r="I34" s="23" t="s">
        <v>156</v>
      </c>
      <c r="J34" s="15"/>
      <c r="K34" s="24" t="s">
        <v>26</v>
      </c>
      <c r="L34" s="24" t="s">
        <v>82</v>
      </c>
      <c r="M34" s="23" t="s">
        <v>82</v>
      </c>
      <c r="N34" s="15"/>
      <c r="O34" s="23" t="s">
        <v>135</v>
      </c>
      <c r="P34" s="23" t="s">
        <v>136</v>
      </c>
      <c r="Q34" s="23" t="s">
        <v>157</v>
      </c>
      <c r="R34" s="15"/>
      <c r="S34" s="34" t="str">
        <f>"500,0"</f>
        <v>500,0</v>
      </c>
      <c r="T34" s="15" t="str">
        <f>"361,7500"</f>
        <v>361,7500</v>
      </c>
      <c r="U34" s="12" t="s">
        <v>158</v>
      </c>
    </row>
    <row r="35" spans="1:21" x14ac:dyDescent="0.2">
      <c r="A35" s="29" t="s">
        <v>15</v>
      </c>
      <c r="B35" s="18" t="s">
        <v>159</v>
      </c>
      <c r="C35" s="12" t="s">
        <v>160</v>
      </c>
      <c r="D35" s="12" t="s">
        <v>161</v>
      </c>
      <c r="E35" s="12" t="str">
        <f>"0,7166"</f>
        <v>0,7166</v>
      </c>
      <c r="F35" s="12" t="s">
        <v>162</v>
      </c>
      <c r="G35" s="23" t="s">
        <v>38</v>
      </c>
      <c r="H35" s="23" t="s">
        <v>81</v>
      </c>
      <c r="I35" s="23" t="s">
        <v>61</v>
      </c>
      <c r="J35" s="15"/>
      <c r="K35" s="23" t="s">
        <v>163</v>
      </c>
      <c r="L35" s="24" t="s">
        <v>164</v>
      </c>
      <c r="M35" s="24" t="s">
        <v>164</v>
      </c>
      <c r="N35" s="15"/>
      <c r="O35" s="23" t="s">
        <v>165</v>
      </c>
      <c r="P35" s="23" t="s">
        <v>147</v>
      </c>
      <c r="Q35" s="23" t="s">
        <v>148</v>
      </c>
      <c r="R35" s="15"/>
      <c r="S35" s="34" t="str">
        <f>"417,5"</f>
        <v>417,5</v>
      </c>
      <c r="T35" s="15" t="str">
        <f>"299,1805"</f>
        <v>299,1805</v>
      </c>
      <c r="U35" s="12" t="s">
        <v>115</v>
      </c>
    </row>
    <row r="36" spans="1:21" x14ac:dyDescent="0.2">
      <c r="A36" s="30" t="s">
        <v>15</v>
      </c>
      <c r="B36" s="19" t="s">
        <v>166</v>
      </c>
      <c r="C36" s="13" t="s">
        <v>167</v>
      </c>
      <c r="D36" s="13" t="s">
        <v>168</v>
      </c>
      <c r="E36" s="13" t="str">
        <f>"0,7578"</f>
        <v>0,7578</v>
      </c>
      <c r="F36" s="13" t="s">
        <v>169</v>
      </c>
      <c r="G36" s="21" t="s">
        <v>37</v>
      </c>
      <c r="H36" s="21" t="s">
        <v>38</v>
      </c>
      <c r="I36" s="21" t="s">
        <v>170</v>
      </c>
      <c r="J36" s="16"/>
      <c r="K36" s="25" t="s">
        <v>49</v>
      </c>
      <c r="L36" s="21" t="s">
        <v>49</v>
      </c>
      <c r="M36" s="25" t="s">
        <v>171</v>
      </c>
      <c r="N36" s="16"/>
      <c r="O36" s="21" t="s">
        <v>125</v>
      </c>
      <c r="P36" s="21" t="s">
        <v>155</v>
      </c>
      <c r="Q36" s="21" t="s">
        <v>172</v>
      </c>
      <c r="R36" s="16"/>
      <c r="S36" s="35" t="str">
        <f>"375,5"</f>
        <v>375,5</v>
      </c>
      <c r="T36" s="16" t="str">
        <f>"401,2210"</f>
        <v>401,2210</v>
      </c>
      <c r="U36" s="13" t="s">
        <v>64</v>
      </c>
    </row>
    <row r="37" spans="1:21" x14ac:dyDescent="0.2">
      <c r="B37" s="5" t="s">
        <v>51</v>
      </c>
    </row>
    <row r="38" spans="1:21" ht="15" x14ac:dyDescent="0.2">
      <c r="A38" s="49" t="s">
        <v>173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21" x14ac:dyDescent="0.2">
      <c r="A39" s="28" t="s">
        <v>15</v>
      </c>
      <c r="B39" s="17" t="s">
        <v>174</v>
      </c>
      <c r="C39" s="11" t="s">
        <v>175</v>
      </c>
      <c r="D39" s="11" t="s">
        <v>176</v>
      </c>
      <c r="E39" s="11" t="str">
        <f>"0,6843"</f>
        <v>0,6843</v>
      </c>
      <c r="F39" s="11" t="s">
        <v>177</v>
      </c>
      <c r="G39" s="20" t="s">
        <v>178</v>
      </c>
      <c r="H39" s="20" t="s">
        <v>63</v>
      </c>
      <c r="I39" s="22" t="s">
        <v>155</v>
      </c>
      <c r="J39" s="14"/>
      <c r="K39" s="22" t="s">
        <v>26</v>
      </c>
      <c r="L39" s="20" t="s">
        <v>26</v>
      </c>
      <c r="M39" s="20" t="s">
        <v>82</v>
      </c>
      <c r="N39" s="14"/>
      <c r="O39" s="20" t="s">
        <v>125</v>
      </c>
      <c r="P39" s="20" t="s">
        <v>165</v>
      </c>
      <c r="Q39" s="20" t="s">
        <v>148</v>
      </c>
      <c r="R39" s="20" t="s">
        <v>136</v>
      </c>
      <c r="S39" s="33" t="str">
        <f>"442,5"</f>
        <v>442,5</v>
      </c>
      <c r="T39" s="14" t="str">
        <f>"302,8028"</f>
        <v>302,8028</v>
      </c>
      <c r="U39" s="11" t="s">
        <v>179</v>
      </c>
    </row>
    <row r="40" spans="1:21" x14ac:dyDescent="0.2">
      <c r="A40" s="29" t="s">
        <v>15</v>
      </c>
      <c r="B40" s="18" t="s">
        <v>180</v>
      </c>
      <c r="C40" s="12" t="s">
        <v>181</v>
      </c>
      <c r="D40" s="12" t="s">
        <v>182</v>
      </c>
      <c r="E40" s="12" t="str">
        <f>"0,6704"</f>
        <v>0,6704</v>
      </c>
      <c r="F40" s="12" t="s">
        <v>183</v>
      </c>
      <c r="G40" s="23" t="s">
        <v>184</v>
      </c>
      <c r="H40" s="23" t="s">
        <v>128</v>
      </c>
      <c r="I40" s="23" t="s">
        <v>185</v>
      </c>
      <c r="J40" s="15"/>
      <c r="K40" s="23" t="s">
        <v>61</v>
      </c>
      <c r="L40" s="23" t="s">
        <v>178</v>
      </c>
      <c r="M40" s="24" t="s">
        <v>62</v>
      </c>
      <c r="N40" s="15"/>
      <c r="O40" s="23" t="s">
        <v>129</v>
      </c>
      <c r="P40" s="23" t="s">
        <v>186</v>
      </c>
      <c r="Q40" s="24" t="s">
        <v>187</v>
      </c>
      <c r="R40" s="15"/>
      <c r="S40" s="34" t="str">
        <f>"617,5"</f>
        <v>617,5</v>
      </c>
      <c r="T40" s="15" t="str">
        <f>"413,9720"</f>
        <v>413,9720</v>
      </c>
      <c r="U40" s="12" t="s">
        <v>64</v>
      </c>
    </row>
    <row r="41" spans="1:21" x14ac:dyDescent="0.2">
      <c r="A41" s="29" t="s">
        <v>41</v>
      </c>
      <c r="B41" s="18" t="s">
        <v>188</v>
      </c>
      <c r="C41" s="12" t="s">
        <v>189</v>
      </c>
      <c r="D41" s="12" t="s">
        <v>190</v>
      </c>
      <c r="E41" s="12" t="str">
        <f>"0,6811"</f>
        <v>0,6811</v>
      </c>
      <c r="F41" s="12" t="s">
        <v>191</v>
      </c>
      <c r="G41" s="23" t="s">
        <v>192</v>
      </c>
      <c r="H41" s="23" t="s">
        <v>193</v>
      </c>
      <c r="I41" s="24" t="s">
        <v>127</v>
      </c>
      <c r="J41" s="15"/>
      <c r="K41" s="23" t="s">
        <v>61</v>
      </c>
      <c r="L41" s="24" t="s">
        <v>62</v>
      </c>
      <c r="M41" s="23" t="s">
        <v>62</v>
      </c>
      <c r="N41" s="15"/>
      <c r="O41" s="24" t="s">
        <v>194</v>
      </c>
      <c r="P41" s="24" t="s">
        <v>186</v>
      </c>
      <c r="Q41" s="23" t="s">
        <v>186</v>
      </c>
      <c r="R41" s="15"/>
      <c r="S41" s="34" t="str">
        <f>"600,0"</f>
        <v>600,0</v>
      </c>
      <c r="T41" s="15" t="str">
        <f>"408,6600"</f>
        <v>408,6600</v>
      </c>
      <c r="U41" s="12" t="s">
        <v>64</v>
      </c>
    </row>
    <row r="42" spans="1:21" x14ac:dyDescent="0.2">
      <c r="A42" s="29" t="s">
        <v>43</v>
      </c>
      <c r="B42" s="18" t="s">
        <v>195</v>
      </c>
      <c r="C42" s="12" t="s">
        <v>196</v>
      </c>
      <c r="D42" s="12" t="s">
        <v>182</v>
      </c>
      <c r="E42" s="12" t="str">
        <f>"0,6704"</f>
        <v>0,6704</v>
      </c>
      <c r="F42" s="12" t="s">
        <v>47</v>
      </c>
      <c r="G42" s="23" t="s">
        <v>184</v>
      </c>
      <c r="H42" s="24" t="s">
        <v>197</v>
      </c>
      <c r="I42" s="24" t="s">
        <v>128</v>
      </c>
      <c r="J42" s="15"/>
      <c r="K42" s="23" t="s">
        <v>81</v>
      </c>
      <c r="L42" s="23" t="s">
        <v>61</v>
      </c>
      <c r="M42" s="24" t="s">
        <v>198</v>
      </c>
      <c r="N42" s="15"/>
      <c r="O42" s="23" t="s">
        <v>129</v>
      </c>
      <c r="P42" s="23" t="s">
        <v>130</v>
      </c>
      <c r="Q42" s="24" t="s">
        <v>194</v>
      </c>
      <c r="R42" s="15"/>
      <c r="S42" s="34" t="str">
        <f>"585,0"</f>
        <v>585,0</v>
      </c>
      <c r="T42" s="15" t="str">
        <f>"392,1840"</f>
        <v>392,1840</v>
      </c>
      <c r="U42" s="12" t="s">
        <v>64</v>
      </c>
    </row>
    <row r="43" spans="1:21" x14ac:dyDescent="0.2">
      <c r="A43" s="29" t="s">
        <v>199</v>
      </c>
      <c r="B43" s="18" t="s">
        <v>200</v>
      </c>
      <c r="C43" s="12" t="s">
        <v>201</v>
      </c>
      <c r="D43" s="12" t="s">
        <v>202</v>
      </c>
      <c r="E43" s="12" t="str">
        <f>"0,6774"</f>
        <v>0,6774</v>
      </c>
      <c r="F43" s="12" t="s">
        <v>203</v>
      </c>
      <c r="G43" s="23" t="s">
        <v>135</v>
      </c>
      <c r="H43" s="23" t="s">
        <v>136</v>
      </c>
      <c r="I43" s="24" t="s">
        <v>193</v>
      </c>
      <c r="J43" s="15"/>
      <c r="K43" s="23" t="s">
        <v>37</v>
      </c>
      <c r="L43" s="23" t="s">
        <v>38</v>
      </c>
      <c r="M43" s="23" t="s">
        <v>39</v>
      </c>
      <c r="N43" s="15"/>
      <c r="O43" s="23" t="s">
        <v>184</v>
      </c>
      <c r="P43" s="23" t="s">
        <v>128</v>
      </c>
      <c r="Q43" s="24" t="s">
        <v>204</v>
      </c>
      <c r="R43" s="15"/>
      <c r="S43" s="34" t="str">
        <f>"545,0"</f>
        <v>545,0</v>
      </c>
      <c r="T43" s="15" t="str">
        <f>"369,1830"</f>
        <v>369,1830</v>
      </c>
      <c r="U43" s="12" t="s">
        <v>205</v>
      </c>
    </row>
    <row r="44" spans="1:21" x14ac:dyDescent="0.2">
      <c r="A44" s="30" t="s">
        <v>15</v>
      </c>
      <c r="B44" s="19" t="s">
        <v>206</v>
      </c>
      <c r="C44" s="13" t="s">
        <v>207</v>
      </c>
      <c r="D44" s="13" t="s">
        <v>208</v>
      </c>
      <c r="E44" s="13" t="str">
        <f>"0,6827"</f>
        <v>0,6827</v>
      </c>
      <c r="F44" s="13" t="s">
        <v>47</v>
      </c>
      <c r="G44" s="21" t="s">
        <v>39</v>
      </c>
      <c r="H44" s="25" t="s">
        <v>81</v>
      </c>
      <c r="I44" s="25" t="s">
        <v>89</v>
      </c>
      <c r="J44" s="16"/>
      <c r="K44" s="21" t="s">
        <v>32</v>
      </c>
      <c r="L44" s="21" t="s">
        <v>22</v>
      </c>
      <c r="M44" s="25" t="s">
        <v>33</v>
      </c>
      <c r="N44" s="16"/>
      <c r="O44" s="21" t="s">
        <v>39</v>
      </c>
      <c r="P44" s="21" t="s">
        <v>89</v>
      </c>
      <c r="Q44" s="21" t="s">
        <v>198</v>
      </c>
      <c r="R44" s="16"/>
      <c r="S44" s="35" t="str">
        <f>"352,5"</f>
        <v>352,5</v>
      </c>
      <c r="T44" s="16" t="str">
        <f>"384,3208"</f>
        <v>384,3208</v>
      </c>
      <c r="U44" s="13" t="s">
        <v>64</v>
      </c>
    </row>
    <row r="45" spans="1:21" x14ac:dyDescent="0.2">
      <c r="B45" s="5" t="s">
        <v>51</v>
      </c>
    </row>
    <row r="46" spans="1:21" ht="15" x14ac:dyDescent="0.2">
      <c r="A46" s="49" t="s">
        <v>209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21" x14ac:dyDescent="0.2">
      <c r="A47" s="28" t="s">
        <v>15</v>
      </c>
      <c r="B47" s="17" t="s">
        <v>210</v>
      </c>
      <c r="C47" s="11" t="s">
        <v>211</v>
      </c>
      <c r="D47" s="11" t="s">
        <v>212</v>
      </c>
      <c r="E47" s="11" t="str">
        <f>"0,6471"</f>
        <v>0,6471</v>
      </c>
      <c r="F47" s="11" t="s">
        <v>47</v>
      </c>
      <c r="G47" s="20" t="s">
        <v>172</v>
      </c>
      <c r="H47" s="20" t="s">
        <v>147</v>
      </c>
      <c r="I47" s="22" t="s">
        <v>213</v>
      </c>
      <c r="J47" s="14"/>
      <c r="K47" s="20" t="s">
        <v>39</v>
      </c>
      <c r="L47" s="20" t="s">
        <v>61</v>
      </c>
      <c r="M47" s="20" t="s">
        <v>83</v>
      </c>
      <c r="N47" s="14"/>
      <c r="O47" s="20" t="s">
        <v>155</v>
      </c>
      <c r="P47" s="20" t="s">
        <v>147</v>
      </c>
      <c r="Q47" s="22" t="s">
        <v>136</v>
      </c>
      <c r="R47" s="14"/>
      <c r="S47" s="33" t="str">
        <f>"500,0"</f>
        <v>500,0</v>
      </c>
      <c r="T47" s="14" t="str">
        <f>"323,5500"</f>
        <v>323,5500</v>
      </c>
      <c r="U47" s="11" t="s">
        <v>64</v>
      </c>
    </row>
    <row r="48" spans="1:21" x14ac:dyDescent="0.2">
      <c r="A48" s="29" t="s">
        <v>15</v>
      </c>
      <c r="B48" s="18" t="s">
        <v>214</v>
      </c>
      <c r="C48" s="12" t="s">
        <v>215</v>
      </c>
      <c r="D48" s="12" t="s">
        <v>216</v>
      </c>
      <c r="E48" s="12" t="str">
        <f>"0,6515"</f>
        <v>0,6515</v>
      </c>
      <c r="F48" s="12" t="s">
        <v>217</v>
      </c>
      <c r="G48" s="23" t="s">
        <v>135</v>
      </c>
      <c r="H48" s="23" t="s">
        <v>136</v>
      </c>
      <c r="I48" s="23" t="s">
        <v>184</v>
      </c>
      <c r="J48" s="15"/>
      <c r="K48" s="23" t="s">
        <v>81</v>
      </c>
      <c r="L48" s="23" t="s">
        <v>83</v>
      </c>
      <c r="M48" s="23" t="s">
        <v>62</v>
      </c>
      <c r="N48" s="15"/>
      <c r="O48" s="23" t="s">
        <v>128</v>
      </c>
      <c r="P48" s="23" t="s">
        <v>130</v>
      </c>
      <c r="Q48" s="24" t="s">
        <v>186</v>
      </c>
      <c r="R48" s="15"/>
      <c r="S48" s="34" t="str">
        <f>"595,0"</f>
        <v>595,0</v>
      </c>
      <c r="T48" s="15" t="str">
        <f>"387,6425"</f>
        <v>387,6425</v>
      </c>
      <c r="U48" s="12" t="s">
        <v>218</v>
      </c>
    </row>
    <row r="49" spans="1:21" x14ac:dyDescent="0.2">
      <c r="A49" s="29" t="s">
        <v>41</v>
      </c>
      <c r="B49" s="18" t="s">
        <v>219</v>
      </c>
      <c r="C49" s="12" t="s">
        <v>220</v>
      </c>
      <c r="D49" s="12" t="s">
        <v>221</v>
      </c>
      <c r="E49" s="12" t="str">
        <f>"0,6413"</f>
        <v>0,6413</v>
      </c>
      <c r="F49" s="12" t="s">
        <v>222</v>
      </c>
      <c r="G49" s="23" t="s">
        <v>172</v>
      </c>
      <c r="H49" s="23" t="s">
        <v>223</v>
      </c>
      <c r="I49" s="23" t="s">
        <v>148</v>
      </c>
      <c r="J49" s="15"/>
      <c r="K49" s="23" t="s">
        <v>38</v>
      </c>
      <c r="L49" s="24" t="s">
        <v>81</v>
      </c>
      <c r="M49" s="24" t="s">
        <v>81</v>
      </c>
      <c r="N49" s="15"/>
      <c r="O49" s="23" t="s">
        <v>147</v>
      </c>
      <c r="P49" s="23" t="s">
        <v>135</v>
      </c>
      <c r="Q49" s="23" t="s">
        <v>193</v>
      </c>
      <c r="R49" s="15"/>
      <c r="S49" s="34" t="str">
        <f>"510,0"</f>
        <v>510,0</v>
      </c>
      <c r="T49" s="15" t="str">
        <f>"327,0630"</f>
        <v>327,0630</v>
      </c>
      <c r="U49" s="12" t="s">
        <v>224</v>
      </c>
    </row>
    <row r="50" spans="1:21" x14ac:dyDescent="0.2">
      <c r="A50" s="30" t="s">
        <v>92</v>
      </c>
      <c r="B50" s="19" t="s">
        <v>225</v>
      </c>
      <c r="C50" s="13" t="s">
        <v>226</v>
      </c>
      <c r="D50" s="13" t="s">
        <v>227</v>
      </c>
      <c r="E50" s="13" t="str">
        <f>"0,6410"</f>
        <v>0,6410</v>
      </c>
      <c r="F50" s="13" t="s">
        <v>228</v>
      </c>
      <c r="G50" s="21" t="s">
        <v>229</v>
      </c>
      <c r="H50" s="25" t="s">
        <v>187</v>
      </c>
      <c r="I50" s="25" t="s">
        <v>187</v>
      </c>
      <c r="J50" s="16"/>
      <c r="K50" s="25" t="s">
        <v>172</v>
      </c>
      <c r="L50" s="25" t="s">
        <v>172</v>
      </c>
      <c r="M50" s="25" t="s">
        <v>172</v>
      </c>
      <c r="N50" s="16"/>
      <c r="O50" s="16"/>
      <c r="P50" s="25"/>
      <c r="Q50" s="25"/>
      <c r="R50" s="16"/>
      <c r="S50" s="35">
        <v>0</v>
      </c>
      <c r="T50" s="16" t="str">
        <f>"0,0000"</f>
        <v>0,0000</v>
      </c>
      <c r="U50" s="13" t="s">
        <v>230</v>
      </c>
    </row>
    <row r="51" spans="1:21" x14ac:dyDescent="0.2">
      <c r="B51" s="5" t="s">
        <v>51</v>
      </c>
    </row>
    <row r="52" spans="1:21" ht="15" x14ac:dyDescent="0.2">
      <c r="A52" s="49" t="s">
        <v>231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</row>
    <row r="53" spans="1:21" x14ac:dyDescent="0.2">
      <c r="A53" s="28" t="s">
        <v>15</v>
      </c>
      <c r="B53" s="17" t="s">
        <v>232</v>
      </c>
      <c r="C53" s="11" t="s">
        <v>233</v>
      </c>
      <c r="D53" s="11" t="s">
        <v>234</v>
      </c>
      <c r="E53" s="11" t="str">
        <f>"0,6098"</f>
        <v>0,6098</v>
      </c>
      <c r="F53" s="11" t="s">
        <v>235</v>
      </c>
      <c r="G53" s="22" t="s">
        <v>165</v>
      </c>
      <c r="H53" s="20" t="s">
        <v>165</v>
      </c>
      <c r="I53" s="20" t="s">
        <v>147</v>
      </c>
      <c r="J53" s="14"/>
      <c r="K53" s="20" t="s">
        <v>61</v>
      </c>
      <c r="L53" s="20" t="s">
        <v>83</v>
      </c>
      <c r="M53" s="20" t="s">
        <v>178</v>
      </c>
      <c r="N53" s="14"/>
      <c r="O53" s="20" t="s">
        <v>136</v>
      </c>
      <c r="P53" s="20" t="s">
        <v>184</v>
      </c>
      <c r="Q53" s="20" t="s">
        <v>127</v>
      </c>
      <c r="R53" s="14"/>
      <c r="S53" s="33" t="str">
        <f>"537,5"</f>
        <v>537,5</v>
      </c>
      <c r="T53" s="14" t="str">
        <f>"327,7675"</f>
        <v>327,7675</v>
      </c>
      <c r="U53" s="11" t="s">
        <v>236</v>
      </c>
    </row>
    <row r="54" spans="1:21" x14ac:dyDescent="0.2">
      <c r="A54" s="29" t="s">
        <v>15</v>
      </c>
      <c r="B54" s="18" t="s">
        <v>237</v>
      </c>
      <c r="C54" s="12" t="s">
        <v>238</v>
      </c>
      <c r="D54" s="12" t="s">
        <v>239</v>
      </c>
      <c r="E54" s="12" t="str">
        <f>"0,6272"</f>
        <v>0,6272</v>
      </c>
      <c r="F54" s="12" t="s">
        <v>240</v>
      </c>
      <c r="G54" s="23" t="s">
        <v>135</v>
      </c>
      <c r="H54" s="23" t="s">
        <v>241</v>
      </c>
      <c r="I54" s="24" t="s">
        <v>127</v>
      </c>
      <c r="J54" s="15"/>
      <c r="K54" s="23" t="s">
        <v>125</v>
      </c>
      <c r="L54" s="23" t="s">
        <v>172</v>
      </c>
      <c r="M54" s="23" t="s">
        <v>146</v>
      </c>
      <c r="N54" s="15"/>
      <c r="O54" s="24" t="s">
        <v>184</v>
      </c>
      <c r="P54" s="23" t="s">
        <v>185</v>
      </c>
      <c r="Q54" s="23" t="s">
        <v>186</v>
      </c>
      <c r="R54" s="15"/>
      <c r="S54" s="34" t="str">
        <f>"630,0"</f>
        <v>630,0</v>
      </c>
      <c r="T54" s="15" t="str">
        <f>"395,1360"</f>
        <v>395,1360</v>
      </c>
      <c r="U54" s="12" t="s">
        <v>64</v>
      </c>
    </row>
    <row r="55" spans="1:21" x14ac:dyDescent="0.2">
      <c r="A55" s="29" t="s">
        <v>41</v>
      </c>
      <c r="B55" s="18" t="s">
        <v>242</v>
      </c>
      <c r="C55" s="12" t="s">
        <v>243</v>
      </c>
      <c r="D55" s="12" t="s">
        <v>244</v>
      </c>
      <c r="E55" s="12" t="str">
        <f>"0,6131"</f>
        <v>0,6131</v>
      </c>
      <c r="F55" s="12" t="s">
        <v>245</v>
      </c>
      <c r="G55" s="23" t="s">
        <v>148</v>
      </c>
      <c r="H55" s="23" t="s">
        <v>136</v>
      </c>
      <c r="I55" s="24" t="s">
        <v>184</v>
      </c>
      <c r="J55" s="15"/>
      <c r="K55" s="23" t="s">
        <v>84</v>
      </c>
      <c r="L55" s="23" t="s">
        <v>155</v>
      </c>
      <c r="M55" s="23" t="s">
        <v>246</v>
      </c>
      <c r="N55" s="15"/>
      <c r="O55" s="23" t="s">
        <v>128</v>
      </c>
      <c r="P55" s="23" t="s">
        <v>204</v>
      </c>
      <c r="Q55" s="23" t="s">
        <v>194</v>
      </c>
      <c r="R55" s="15"/>
      <c r="S55" s="34" t="str">
        <f>"612,5"</f>
        <v>612,5</v>
      </c>
      <c r="T55" s="15" t="str">
        <f>"375,5237"</f>
        <v>375,5237</v>
      </c>
      <c r="U55" s="12" t="s">
        <v>64</v>
      </c>
    </row>
    <row r="56" spans="1:21" x14ac:dyDescent="0.2">
      <c r="A56" s="29" t="s">
        <v>15</v>
      </c>
      <c r="B56" s="18" t="s">
        <v>247</v>
      </c>
      <c r="C56" s="12" t="s">
        <v>248</v>
      </c>
      <c r="D56" s="12" t="s">
        <v>249</v>
      </c>
      <c r="E56" s="12" t="str">
        <f>"0,6134"</f>
        <v>0,6134</v>
      </c>
      <c r="F56" s="12" t="s">
        <v>145</v>
      </c>
      <c r="G56" s="24" t="s">
        <v>135</v>
      </c>
      <c r="H56" s="24" t="s">
        <v>136</v>
      </c>
      <c r="I56" s="23" t="s">
        <v>136</v>
      </c>
      <c r="J56" s="15"/>
      <c r="K56" s="23" t="s">
        <v>81</v>
      </c>
      <c r="L56" s="23" t="s">
        <v>83</v>
      </c>
      <c r="M56" s="23" t="s">
        <v>84</v>
      </c>
      <c r="N56" s="15"/>
      <c r="O56" s="23" t="s">
        <v>149</v>
      </c>
      <c r="P56" s="23" t="s">
        <v>204</v>
      </c>
      <c r="Q56" s="24" t="s">
        <v>250</v>
      </c>
      <c r="R56" s="15"/>
      <c r="S56" s="34" t="str">
        <f>"585,0"</f>
        <v>585,0</v>
      </c>
      <c r="T56" s="15" t="str">
        <f>"386,8284"</f>
        <v>386,8284</v>
      </c>
      <c r="U56" s="12" t="s">
        <v>251</v>
      </c>
    </row>
    <row r="57" spans="1:21" x14ac:dyDescent="0.2">
      <c r="A57" s="30" t="s">
        <v>15</v>
      </c>
      <c r="B57" s="19" t="s">
        <v>252</v>
      </c>
      <c r="C57" s="13" t="s">
        <v>253</v>
      </c>
      <c r="D57" s="13" t="s">
        <v>254</v>
      </c>
      <c r="E57" s="13" t="str">
        <f>"0,6197"</f>
        <v>0,6197</v>
      </c>
      <c r="F57" s="13" t="s">
        <v>255</v>
      </c>
      <c r="G57" s="21" t="s">
        <v>198</v>
      </c>
      <c r="H57" s="21" t="s">
        <v>178</v>
      </c>
      <c r="I57" s="25" t="s">
        <v>107</v>
      </c>
      <c r="J57" s="16"/>
      <c r="K57" s="21" t="s">
        <v>33</v>
      </c>
      <c r="L57" s="21" t="s">
        <v>163</v>
      </c>
      <c r="M57" s="16"/>
      <c r="N57" s="16"/>
      <c r="O57" s="21" t="s">
        <v>155</v>
      </c>
      <c r="P57" s="21" t="s">
        <v>246</v>
      </c>
      <c r="Q57" s="25" t="s">
        <v>146</v>
      </c>
      <c r="R57" s="16"/>
      <c r="S57" s="35" t="str">
        <f>"407,5"</f>
        <v>407,5</v>
      </c>
      <c r="T57" s="16" t="str">
        <f>"469,7016"</f>
        <v>469,7016</v>
      </c>
      <c r="U57" s="13" t="s">
        <v>64</v>
      </c>
    </row>
    <row r="58" spans="1:21" x14ac:dyDescent="0.2">
      <c r="B58" s="5" t="s">
        <v>51</v>
      </c>
    </row>
    <row r="59" spans="1:21" ht="15" x14ac:dyDescent="0.2">
      <c r="A59" s="49" t="s">
        <v>256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  <row r="60" spans="1:21" x14ac:dyDescent="0.2">
      <c r="A60" s="31" t="s">
        <v>15</v>
      </c>
      <c r="B60" s="10" t="s">
        <v>257</v>
      </c>
      <c r="C60" s="4" t="s">
        <v>258</v>
      </c>
      <c r="D60" s="4" t="s">
        <v>259</v>
      </c>
      <c r="E60" s="4" t="str">
        <f>"0,5970"</f>
        <v>0,5970</v>
      </c>
      <c r="F60" s="4" t="s">
        <v>260</v>
      </c>
      <c r="G60" s="9" t="s">
        <v>155</v>
      </c>
      <c r="H60" s="9" t="s">
        <v>155</v>
      </c>
      <c r="I60" s="8" t="s">
        <v>155</v>
      </c>
      <c r="J60" s="7"/>
      <c r="K60" s="8" t="s">
        <v>38</v>
      </c>
      <c r="L60" s="8" t="s">
        <v>81</v>
      </c>
      <c r="M60" s="9" t="s">
        <v>83</v>
      </c>
      <c r="N60" s="7"/>
      <c r="O60" s="8" t="s">
        <v>136</v>
      </c>
      <c r="P60" s="8" t="s">
        <v>184</v>
      </c>
      <c r="Q60" s="8" t="s">
        <v>127</v>
      </c>
      <c r="R60" s="7"/>
      <c r="S60" s="36" t="str">
        <f>"505,0"</f>
        <v>505,0</v>
      </c>
      <c r="T60" s="7" t="str">
        <f>"301,4850"</f>
        <v>301,4850</v>
      </c>
      <c r="U60" s="4" t="s">
        <v>64</v>
      </c>
    </row>
    <row r="61" spans="1:21" x14ac:dyDescent="0.2">
      <c r="B61" s="5" t="s">
        <v>51</v>
      </c>
    </row>
    <row r="62" spans="1:21" ht="15" x14ac:dyDescent="0.2">
      <c r="A62" s="49" t="s">
        <v>261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</row>
    <row r="63" spans="1:21" x14ac:dyDescent="0.2">
      <c r="A63" s="28" t="s">
        <v>15</v>
      </c>
      <c r="B63" s="17" t="s">
        <v>262</v>
      </c>
      <c r="C63" s="11" t="s">
        <v>263</v>
      </c>
      <c r="D63" s="11" t="s">
        <v>264</v>
      </c>
      <c r="E63" s="11" t="str">
        <f>"0,5788"</f>
        <v>0,5788</v>
      </c>
      <c r="F63" s="11" t="s">
        <v>260</v>
      </c>
      <c r="G63" s="20" t="s">
        <v>265</v>
      </c>
      <c r="H63" s="20" t="s">
        <v>266</v>
      </c>
      <c r="I63" s="22" t="s">
        <v>267</v>
      </c>
      <c r="J63" s="14"/>
      <c r="K63" s="20" t="s">
        <v>84</v>
      </c>
      <c r="L63" s="20" t="s">
        <v>268</v>
      </c>
      <c r="M63" s="14"/>
      <c r="N63" s="14"/>
      <c r="O63" s="20" t="s">
        <v>269</v>
      </c>
      <c r="P63" s="20" t="s">
        <v>270</v>
      </c>
      <c r="Q63" s="22" t="s">
        <v>271</v>
      </c>
      <c r="R63" s="14"/>
      <c r="S63" s="33" t="str">
        <f>"742,5"</f>
        <v>742,5</v>
      </c>
      <c r="T63" s="14" t="str">
        <f>"429,7590"</f>
        <v>429,7590</v>
      </c>
      <c r="U63" s="11" t="s">
        <v>272</v>
      </c>
    </row>
    <row r="64" spans="1:21" x14ac:dyDescent="0.2">
      <c r="A64" s="30" t="s">
        <v>41</v>
      </c>
      <c r="B64" s="19" t="s">
        <v>273</v>
      </c>
      <c r="C64" s="13" t="s">
        <v>274</v>
      </c>
      <c r="D64" s="13" t="s">
        <v>275</v>
      </c>
      <c r="E64" s="13" t="str">
        <f>"0,5796"</f>
        <v>0,5796</v>
      </c>
      <c r="F64" s="13" t="s">
        <v>47</v>
      </c>
      <c r="G64" s="21" t="s">
        <v>184</v>
      </c>
      <c r="H64" s="21" t="s">
        <v>204</v>
      </c>
      <c r="I64" s="25" t="s">
        <v>186</v>
      </c>
      <c r="J64" s="16"/>
      <c r="K64" s="21" t="s">
        <v>84</v>
      </c>
      <c r="L64" s="21" t="s">
        <v>172</v>
      </c>
      <c r="M64" s="21" t="s">
        <v>223</v>
      </c>
      <c r="N64" s="16"/>
      <c r="O64" s="21" t="s">
        <v>186</v>
      </c>
      <c r="P64" s="21" t="s">
        <v>276</v>
      </c>
      <c r="Q64" s="25" t="s">
        <v>270</v>
      </c>
      <c r="R64" s="16"/>
      <c r="S64" s="35" t="str">
        <f>"680,0"</f>
        <v>680,0</v>
      </c>
      <c r="T64" s="16" t="str">
        <f>"394,1280"</f>
        <v>394,1280</v>
      </c>
      <c r="U64" s="13" t="s">
        <v>277</v>
      </c>
    </row>
    <row r="65" spans="1:21" x14ac:dyDescent="0.2">
      <c r="B65" s="5" t="s">
        <v>51</v>
      </c>
    </row>
    <row r="66" spans="1:21" ht="15" x14ac:dyDescent="0.2">
      <c r="A66" s="49" t="s">
        <v>278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</row>
    <row r="67" spans="1:21" x14ac:dyDescent="0.2">
      <c r="A67" s="31" t="s">
        <v>15</v>
      </c>
      <c r="B67" s="10" t="s">
        <v>279</v>
      </c>
      <c r="C67" s="4" t="s">
        <v>280</v>
      </c>
      <c r="D67" s="4" t="s">
        <v>281</v>
      </c>
      <c r="E67" s="4" t="str">
        <f>"0,5607"</f>
        <v>0,5607</v>
      </c>
      <c r="F67" s="4" t="s">
        <v>260</v>
      </c>
      <c r="G67" s="8" t="s">
        <v>229</v>
      </c>
      <c r="H67" s="8" t="s">
        <v>282</v>
      </c>
      <c r="I67" s="9" t="s">
        <v>269</v>
      </c>
      <c r="J67" s="7"/>
      <c r="K67" s="8" t="s">
        <v>61</v>
      </c>
      <c r="L67" s="8" t="s">
        <v>178</v>
      </c>
      <c r="M67" s="9" t="s">
        <v>107</v>
      </c>
      <c r="N67" s="7"/>
      <c r="O67" s="8" t="s">
        <v>270</v>
      </c>
      <c r="P67" s="9" t="s">
        <v>283</v>
      </c>
      <c r="Q67" s="7"/>
      <c r="R67" s="7"/>
      <c r="S67" s="36" t="str">
        <f>"692,5"</f>
        <v>692,5</v>
      </c>
      <c r="T67" s="7" t="str">
        <f>"388,2847"</f>
        <v>388,2847</v>
      </c>
      <c r="U67" s="4" t="s">
        <v>64</v>
      </c>
    </row>
    <row r="68" spans="1:21" x14ac:dyDescent="0.2">
      <c r="B68" s="5" t="s">
        <v>51</v>
      </c>
    </row>
    <row r="71" spans="1:21" ht="18" x14ac:dyDescent="0.25">
      <c r="B71" s="26" t="s">
        <v>284</v>
      </c>
      <c r="C71" s="26"/>
    </row>
    <row r="72" spans="1:21" ht="15" x14ac:dyDescent="0.2">
      <c r="B72" s="45" t="s">
        <v>285</v>
      </c>
      <c r="C72" s="45"/>
    </row>
    <row r="73" spans="1:21" ht="14.25" x14ac:dyDescent="0.2">
      <c r="B73" s="27"/>
      <c r="C73" s="27" t="s">
        <v>286</v>
      </c>
    </row>
    <row r="74" spans="1:21" ht="15" x14ac:dyDescent="0.2">
      <c r="B74" s="47" t="s">
        <v>287</v>
      </c>
      <c r="C74" s="47" t="s">
        <v>288</v>
      </c>
      <c r="D74" s="47" t="s">
        <v>289</v>
      </c>
      <c r="E74" s="47" t="s">
        <v>290</v>
      </c>
      <c r="F74" s="47" t="s">
        <v>291</v>
      </c>
    </row>
    <row r="75" spans="1:21" x14ac:dyDescent="0.2">
      <c r="B75" s="3" t="s">
        <v>78</v>
      </c>
      <c r="C75" s="5" t="s">
        <v>286</v>
      </c>
      <c r="D75" s="6" t="s">
        <v>292</v>
      </c>
      <c r="E75" s="6" t="s">
        <v>293</v>
      </c>
      <c r="F75" s="6" t="s">
        <v>294</v>
      </c>
    </row>
    <row r="76" spans="1:21" x14ac:dyDescent="0.2">
      <c r="B76" s="3" t="s">
        <v>53</v>
      </c>
      <c r="C76" s="5" t="s">
        <v>286</v>
      </c>
      <c r="D76" s="6" t="s">
        <v>295</v>
      </c>
      <c r="E76" s="6" t="s">
        <v>296</v>
      </c>
      <c r="F76" s="6" t="s">
        <v>297</v>
      </c>
    </row>
    <row r="77" spans="1:21" x14ac:dyDescent="0.2">
      <c r="B77" s="3" t="s">
        <v>86</v>
      </c>
      <c r="C77" s="5" t="s">
        <v>286</v>
      </c>
      <c r="D77" s="6" t="s">
        <v>292</v>
      </c>
      <c r="E77" s="6" t="s">
        <v>298</v>
      </c>
      <c r="F77" s="6" t="s">
        <v>299</v>
      </c>
    </row>
    <row r="78" spans="1:21" x14ac:dyDescent="0.2">
      <c r="B78" s="3"/>
    </row>
    <row r="79" spans="1:21" ht="15" x14ac:dyDescent="0.2">
      <c r="B79" s="45" t="s">
        <v>300</v>
      </c>
      <c r="C79" s="45"/>
    </row>
    <row r="80" spans="1:21" ht="14.25" x14ac:dyDescent="0.2">
      <c r="B80" s="27"/>
      <c r="C80" s="27" t="s">
        <v>286</v>
      </c>
    </row>
    <row r="81" spans="2:6" ht="15" x14ac:dyDescent="0.2">
      <c r="B81" s="47" t="s">
        <v>287</v>
      </c>
      <c r="C81" s="47" t="s">
        <v>288</v>
      </c>
      <c r="D81" s="47" t="s">
        <v>289</v>
      </c>
      <c r="E81" s="47" t="s">
        <v>290</v>
      </c>
      <c r="F81" s="47" t="s">
        <v>291</v>
      </c>
    </row>
    <row r="82" spans="2:6" x14ac:dyDescent="0.2">
      <c r="B82" s="3" t="s">
        <v>262</v>
      </c>
      <c r="C82" s="5" t="s">
        <v>286</v>
      </c>
      <c r="D82" s="6" t="s">
        <v>301</v>
      </c>
      <c r="E82" s="6" t="s">
        <v>302</v>
      </c>
      <c r="F82" s="6" t="s">
        <v>303</v>
      </c>
    </row>
    <row r="83" spans="2:6" x14ac:dyDescent="0.2">
      <c r="B83" s="3" t="s">
        <v>180</v>
      </c>
      <c r="C83" s="5" t="s">
        <v>286</v>
      </c>
      <c r="D83" s="6" t="s">
        <v>304</v>
      </c>
      <c r="E83" s="6" t="s">
        <v>305</v>
      </c>
      <c r="F83" s="6" t="s">
        <v>306</v>
      </c>
    </row>
    <row r="84" spans="2:6" x14ac:dyDescent="0.2">
      <c r="B84" s="3" t="s">
        <v>188</v>
      </c>
      <c r="C84" s="5" t="s">
        <v>286</v>
      </c>
      <c r="D84" s="6" t="s">
        <v>304</v>
      </c>
      <c r="E84" s="6" t="s">
        <v>307</v>
      </c>
      <c r="F84" s="6" t="s">
        <v>308</v>
      </c>
    </row>
    <row r="85" spans="2:6" x14ac:dyDescent="0.2">
      <c r="B85" s="5" t="s">
        <v>51</v>
      </c>
    </row>
  </sheetData>
  <mergeCells count="2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1:R31"/>
    <mergeCell ref="A38:R38"/>
    <mergeCell ref="S3:S4"/>
    <mergeCell ref="T3:T4"/>
    <mergeCell ref="U3:U4"/>
    <mergeCell ref="A5:R5"/>
    <mergeCell ref="B3:B4"/>
    <mergeCell ref="A11:R11"/>
    <mergeCell ref="A16:R16"/>
    <mergeCell ref="A22:R22"/>
    <mergeCell ref="A27:R27"/>
    <mergeCell ref="A46:R46"/>
    <mergeCell ref="A52:R52"/>
    <mergeCell ref="A59:R59"/>
    <mergeCell ref="A62:R62"/>
    <mergeCell ref="A66:R6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6" bestFit="1" customWidth="1"/>
    <col min="2" max="2" width="19.7109375" style="5" customWidth="1"/>
    <col min="3" max="3" width="27.7109375" style="3" bestFit="1" customWidth="1"/>
    <col min="4" max="4" width="21.42578125" style="3" bestFit="1" customWidth="1"/>
    <col min="5" max="5" width="10.42578125" style="3" bestFit="1" customWidth="1"/>
    <col min="6" max="6" width="23.7109375" style="3" bestFit="1" customWidth="1"/>
    <col min="7" max="7" width="9.42578125" style="2" customWidth="1"/>
    <col min="8" max="8" width="10.42578125" style="40" customWidth="1"/>
    <col min="9" max="9" width="10.42578125" style="2" bestFit="1" customWidth="1"/>
    <col min="10" max="10" width="9.42578125" style="2" bestFit="1" customWidth="1"/>
    <col min="11" max="11" width="15.42578125" style="3" bestFit="1" customWidth="1"/>
    <col min="12" max="16384" width="9.140625" style="3"/>
  </cols>
  <sheetData>
    <row r="1" spans="1:11" s="2" customFormat="1" ht="29.1" customHeight="1" x14ac:dyDescent="0.2">
      <c r="A1" s="58" t="s">
        <v>717</v>
      </c>
      <c r="B1" s="59"/>
      <c r="C1" s="60"/>
      <c r="D1" s="60"/>
      <c r="E1" s="60"/>
      <c r="F1" s="60"/>
      <c r="G1" s="60"/>
      <c r="H1" s="60"/>
      <c r="I1" s="60"/>
      <c r="J1" s="60"/>
      <c r="K1" s="61"/>
    </row>
    <row r="2" spans="1:11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1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639</v>
      </c>
      <c r="F3" s="52" t="s">
        <v>6</v>
      </c>
      <c r="G3" s="52" t="s">
        <v>643</v>
      </c>
      <c r="H3" s="52"/>
      <c r="I3" s="52" t="s">
        <v>644</v>
      </c>
      <c r="J3" s="52" t="s">
        <v>11</v>
      </c>
      <c r="K3" s="54" t="s">
        <v>12</v>
      </c>
    </row>
    <row r="4" spans="1:11" s="1" customFormat="1" ht="21" customHeight="1" thickBot="1" x14ac:dyDescent="0.25">
      <c r="A4" s="66"/>
      <c r="B4" s="57"/>
      <c r="C4" s="53"/>
      <c r="D4" s="53"/>
      <c r="E4" s="53"/>
      <c r="F4" s="53"/>
      <c r="G4" s="46" t="s">
        <v>645</v>
      </c>
      <c r="H4" s="37" t="s">
        <v>646</v>
      </c>
      <c r="I4" s="53"/>
      <c r="J4" s="53"/>
      <c r="K4" s="55"/>
    </row>
    <row r="5" spans="1:11" ht="15" x14ac:dyDescent="0.2">
      <c r="A5" s="49" t="s">
        <v>14</v>
      </c>
      <c r="B5" s="49"/>
      <c r="C5" s="56"/>
      <c r="D5" s="56"/>
      <c r="E5" s="56"/>
      <c r="F5" s="56"/>
      <c r="G5" s="56"/>
      <c r="H5" s="56"/>
    </row>
    <row r="6" spans="1:11" x14ac:dyDescent="0.2">
      <c r="A6" s="31" t="s">
        <v>15</v>
      </c>
      <c r="B6" s="10" t="s">
        <v>718</v>
      </c>
      <c r="C6" s="4" t="s">
        <v>719</v>
      </c>
      <c r="D6" s="4" t="s">
        <v>720</v>
      </c>
      <c r="E6" s="4" t="str">
        <f>"1,0434"</f>
        <v>1,0434</v>
      </c>
      <c r="F6" s="4" t="s">
        <v>640</v>
      </c>
      <c r="G6" s="7" t="s">
        <v>721</v>
      </c>
      <c r="H6" s="41">
        <v>320</v>
      </c>
      <c r="I6" s="7" t="str">
        <f>"8000,0"</f>
        <v>8000,0</v>
      </c>
      <c r="J6" s="7" t="str">
        <f>"8347,2004"</f>
        <v>8347,2004</v>
      </c>
      <c r="K6" s="4" t="s">
        <v>682</v>
      </c>
    </row>
    <row r="7" spans="1:11" x14ac:dyDescent="0.2">
      <c r="B7" s="5" t="s">
        <v>51</v>
      </c>
    </row>
    <row r="8" spans="1:11" ht="15" x14ac:dyDescent="0.2">
      <c r="A8" s="49" t="s">
        <v>209</v>
      </c>
      <c r="B8" s="49"/>
      <c r="C8" s="49"/>
      <c r="D8" s="49"/>
      <c r="E8" s="49"/>
      <c r="F8" s="49"/>
      <c r="G8" s="49"/>
      <c r="H8" s="49"/>
    </row>
    <row r="9" spans="1:11" x14ac:dyDescent="0.2">
      <c r="A9" s="31" t="s">
        <v>15</v>
      </c>
      <c r="B9" s="10" t="s">
        <v>709</v>
      </c>
      <c r="C9" s="4" t="s">
        <v>710</v>
      </c>
      <c r="D9" s="4" t="s">
        <v>722</v>
      </c>
      <c r="E9" s="4" t="str">
        <f>"0,6349"</f>
        <v>0,6349</v>
      </c>
      <c r="F9" s="4" t="s">
        <v>712</v>
      </c>
      <c r="G9" s="7" t="s">
        <v>35</v>
      </c>
      <c r="H9" s="41">
        <v>111</v>
      </c>
      <c r="I9" s="7" t="str">
        <f>"4717,5"</f>
        <v>4717,5</v>
      </c>
      <c r="J9" s="7" t="str">
        <f>"4256,4301"</f>
        <v>4256,4301</v>
      </c>
      <c r="K9" s="4" t="s">
        <v>64</v>
      </c>
    </row>
    <row r="10" spans="1:11" x14ac:dyDescent="0.2">
      <c r="B10" s="5" t="s">
        <v>51</v>
      </c>
    </row>
  </sheetData>
  <mergeCells count="13">
    <mergeCell ref="K3:K4"/>
    <mergeCell ref="A5:H5"/>
    <mergeCell ref="A1:K2"/>
    <mergeCell ref="A3:A4"/>
    <mergeCell ref="C3:C4"/>
    <mergeCell ref="D3:D4"/>
    <mergeCell ref="E3:E4"/>
    <mergeCell ref="F3:F4"/>
    <mergeCell ref="A8:H8"/>
    <mergeCell ref="B3:B4"/>
    <mergeCell ref="G3:H3"/>
    <mergeCell ref="I3:I4"/>
    <mergeCell ref="J3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15"/>
  <sheetViews>
    <sheetView workbookViewId="0">
      <selection sqref="A1:H2"/>
    </sheetView>
  </sheetViews>
  <sheetFormatPr baseColWidth="10" defaultColWidth="9.140625" defaultRowHeight="12.75" x14ac:dyDescent="0.2"/>
  <cols>
    <col min="1" max="1" width="7.42578125" style="5" bestFit="1" customWidth="1"/>
    <col min="2" max="2" width="15" style="5" bestFit="1" customWidth="1"/>
    <col min="3" max="3" width="26.28515625" style="3" bestFit="1" customWidth="1"/>
    <col min="4" max="4" width="15.42578125" style="3" bestFit="1" customWidth="1"/>
    <col min="5" max="5" width="20.28515625" style="3" customWidth="1"/>
    <col min="6" max="6" width="15.85546875" style="2" customWidth="1"/>
    <col min="7" max="7" width="17.7109375" style="40" customWidth="1"/>
    <col min="8" max="8" width="15.42578125" style="3" bestFit="1" customWidth="1"/>
    <col min="9" max="16384" width="9.140625" style="3"/>
  </cols>
  <sheetData>
    <row r="1" spans="1:8" s="2" customFormat="1" ht="29.1" customHeight="1" x14ac:dyDescent="0.2">
      <c r="A1" s="58" t="s">
        <v>736</v>
      </c>
      <c r="B1" s="59"/>
      <c r="C1" s="60"/>
      <c r="D1" s="60"/>
      <c r="E1" s="60"/>
      <c r="F1" s="60"/>
      <c r="G1" s="60"/>
      <c r="H1" s="61"/>
    </row>
    <row r="2" spans="1:8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4"/>
    </row>
    <row r="3" spans="1:8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6</v>
      </c>
      <c r="F3" s="52" t="s">
        <v>737</v>
      </c>
      <c r="G3" s="52"/>
      <c r="H3" s="54" t="s">
        <v>12</v>
      </c>
    </row>
    <row r="4" spans="1:8" s="1" customFormat="1" ht="21" customHeight="1" thickBot="1" x14ac:dyDescent="0.25">
      <c r="A4" s="66"/>
      <c r="B4" s="57"/>
      <c r="C4" s="53"/>
      <c r="D4" s="53"/>
      <c r="E4" s="53"/>
      <c r="F4" s="46" t="s">
        <v>645</v>
      </c>
      <c r="G4" s="37" t="s">
        <v>646</v>
      </c>
      <c r="H4" s="55"/>
    </row>
    <row r="5" spans="1:8" ht="15" x14ac:dyDescent="0.2">
      <c r="A5" s="49" t="s">
        <v>231</v>
      </c>
      <c r="B5" s="49"/>
      <c r="C5" s="56"/>
      <c r="D5" s="56"/>
      <c r="E5" s="56"/>
      <c r="F5" s="56"/>
      <c r="G5" s="56"/>
    </row>
    <row r="6" spans="1:8" x14ac:dyDescent="0.2">
      <c r="A6" s="10" t="s">
        <v>15</v>
      </c>
      <c r="B6" s="10" t="s">
        <v>732</v>
      </c>
      <c r="C6" s="4" t="s">
        <v>733</v>
      </c>
      <c r="D6" s="4" t="s">
        <v>734</v>
      </c>
      <c r="E6" s="4" t="s">
        <v>735</v>
      </c>
      <c r="F6" s="7" t="s">
        <v>606</v>
      </c>
      <c r="G6" s="41">
        <v>10</v>
      </c>
      <c r="H6" s="4" t="s">
        <v>64</v>
      </c>
    </row>
    <row r="7" spans="1:8" x14ac:dyDescent="0.2">
      <c r="B7" s="5" t="s">
        <v>51</v>
      </c>
    </row>
    <row r="8" spans="1:8" x14ac:dyDescent="0.2">
      <c r="B8" s="5" t="s">
        <v>51</v>
      </c>
    </row>
    <row r="9" spans="1:8" x14ac:dyDescent="0.2">
      <c r="B9" s="5" t="s">
        <v>51</v>
      </c>
    </row>
    <row r="10" spans="1:8" x14ac:dyDescent="0.2">
      <c r="B10" s="5" t="s">
        <v>51</v>
      </c>
    </row>
    <row r="11" spans="1:8" x14ac:dyDescent="0.2">
      <c r="B11" s="5" t="s">
        <v>51</v>
      </c>
    </row>
    <row r="12" spans="1:8" x14ac:dyDescent="0.2">
      <c r="B12" s="5" t="s">
        <v>51</v>
      </c>
    </row>
    <row r="13" spans="1:8" x14ac:dyDescent="0.2">
      <c r="B13" s="5" t="s">
        <v>51</v>
      </c>
    </row>
    <row r="14" spans="1:8" x14ac:dyDescent="0.2">
      <c r="B14" s="5" t="s">
        <v>51</v>
      </c>
    </row>
    <row r="15" spans="1:8" x14ac:dyDescent="0.2">
      <c r="B15" s="5" t="s">
        <v>51</v>
      </c>
    </row>
  </sheetData>
  <mergeCells count="9">
    <mergeCell ref="A5:G5"/>
    <mergeCell ref="B3:B4"/>
    <mergeCell ref="A1:H2"/>
    <mergeCell ref="A3:A4"/>
    <mergeCell ref="C3:C4"/>
    <mergeCell ref="D3:D4"/>
    <mergeCell ref="E3:E4"/>
    <mergeCell ref="F3:G3"/>
    <mergeCell ref="H3:H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9"/>
  <sheetViews>
    <sheetView workbookViewId="0">
      <selection sqref="A1:H2"/>
    </sheetView>
  </sheetViews>
  <sheetFormatPr baseColWidth="10" defaultColWidth="9.140625" defaultRowHeight="12.75" x14ac:dyDescent="0.2"/>
  <cols>
    <col min="1" max="1" width="7.42578125" style="6" bestFit="1" customWidth="1"/>
    <col min="2" max="2" width="19.42578125" style="5" customWidth="1"/>
    <col min="3" max="3" width="28.42578125" style="3" bestFit="1" customWidth="1"/>
    <col min="4" max="4" width="15.42578125" style="3" bestFit="1" customWidth="1"/>
    <col min="5" max="5" width="22.28515625" style="3" bestFit="1" customWidth="1"/>
    <col min="6" max="7" width="15.85546875" style="2" customWidth="1"/>
    <col min="8" max="8" width="15.42578125" style="3" bestFit="1" customWidth="1"/>
    <col min="9" max="16384" width="9.140625" style="3"/>
  </cols>
  <sheetData>
    <row r="1" spans="1:8" s="2" customFormat="1" ht="29.1" customHeight="1" x14ac:dyDescent="0.2">
      <c r="A1" s="58" t="s">
        <v>738</v>
      </c>
      <c r="B1" s="59"/>
      <c r="C1" s="60"/>
      <c r="D1" s="60"/>
      <c r="E1" s="60"/>
      <c r="F1" s="60"/>
      <c r="G1" s="60"/>
      <c r="H1" s="61"/>
    </row>
    <row r="2" spans="1:8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4"/>
    </row>
    <row r="3" spans="1:8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6</v>
      </c>
      <c r="F3" s="52" t="s">
        <v>737</v>
      </c>
      <c r="G3" s="52"/>
      <c r="H3" s="54" t="s">
        <v>12</v>
      </c>
    </row>
    <row r="4" spans="1:8" s="1" customFormat="1" ht="21" customHeight="1" thickBot="1" x14ac:dyDescent="0.25">
      <c r="A4" s="66"/>
      <c r="B4" s="57"/>
      <c r="C4" s="53"/>
      <c r="D4" s="53"/>
      <c r="E4" s="53"/>
      <c r="F4" s="46" t="s">
        <v>645</v>
      </c>
      <c r="G4" s="46" t="s">
        <v>646</v>
      </c>
      <c r="H4" s="55"/>
    </row>
    <row r="5" spans="1:8" ht="15" x14ac:dyDescent="0.2">
      <c r="A5" s="49" t="s">
        <v>102</v>
      </c>
      <c r="B5" s="49"/>
      <c r="C5" s="56"/>
      <c r="D5" s="56"/>
      <c r="E5" s="56"/>
      <c r="F5" s="56"/>
      <c r="G5" s="56"/>
    </row>
    <row r="6" spans="1:8" x14ac:dyDescent="0.2">
      <c r="A6" s="28" t="s">
        <v>15</v>
      </c>
      <c r="B6" s="17" t="s">
        <v>739</v>
      </c>
      <c r="C6" s="11" t="s">
        <v>740</v>
      </c>
      <c r="D6" s="11" t="s">
        <v>723</v>
      </c>
      <c r="E6" s="11" t="s">
        <v>47</v>
      </c>
      <c r="F6" s="14" t="s">
        <v>731</v>
      </c>
      <c r="G6" s="38">
        <v>16</v>
      </c>
      <c r="H6" s="11" t="s">
        <v>64</v>
      </c>
    </row>
    <row r="7" spans="1:8" x14ac:dyDescent="0.2">
      <c r="A7" s="29" t="s">
        <v>15</v>
      </c>
      <c r="B7" s="18" t="s">
        <v>739</v>
      </c>
      <c r="C7" s="12" t="s">
        <v>741</v>
      </c>
      <c r="D7" s="12" t="s">
        <v>723</v>
      </c>
      <c r="E7" s="12" t="s">
        <v>47</v>
      </c>
      <c r="F7" s="15" t="s">
        <v>731</v>
      </c>
      <c r="G7" s="42">
        <v>16</v>
      </c>
      <c r="H7" s="12" t="s">
        <v>64</v>
      </c>
    </row>
    <row r="8" spans="1:8" x14ac:dyDescent="0.2">
      <c r="A8" s="30" t="s">
        <v>15</v>
      </c>
      <c r="B8" s="19" t="s">
        <v>166</v>
      </c>
      <c r="C8" s="13" t="s">
        <v>725</v>
      </c>
      <c r="D8" s="13" t="s">
        <v>168</v>
      </c>
      <c r="E8" s="13" t="s">
        <v>169</v>
      </c>
      <c r="F8" s="16" t="s">
        <v>731</v>
      </c>
      <c r="G8" s="39">
        <v>9</v>
      </c>
      <c r="H8" s="13" t="s">
        <v>64</v>
      </c>
    </row>
    <row r="9" spans="1:8" x14ac:dyDescent="0.2">
      <c r="B9" s="5" t="s">
        <v>51</v>
      </c>
    </row>
  </sheetData>
  <mergeCells count="9">
    <mergeCell ref="A5:G5"/>
    <mergeCell ref="B3:B4"/>
    <mergeCell ref="A1:H2"/>
    <mergeCell ref="A3:A4"/>
    <mergeCell ref="C3:C4"/>
    <mergeCell ref="D3:D4"/>
    <mergeCell ref="E3:E4"/>
    <mergeCell ref="F3:G3"/>
    <mergeCell ref="H3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10"/>
  <sheetViews>
    <sheetView workbookViewId="0">
      <selection sqref="A1:H2"/>
    </sheetView>
  </sheetViews>
  <sheetFormatPr baseColWidth="10" defaultColWidth="9.140625" defaultRowHeight="12.75" x14ac:dyDescent="0.2"/>
  <cols>
    <col min="1" max="1" width="7.42578125" style="6" bestFit="1" customWidth="1"/>
    <col min="2" max="2" width="15" style="5" bestFit="1" customWidth="1"/>
    <col min="3" max="3" width="26.28515625" style="3" bestFit="1" customWidth="1"/>
    <col min="4" max="4" width="15.42578125" style="3" bestFit="1" customWidth="1"/>
    <col min="5" max="5" width="21.42578125" style="3" customWidth="1"/>
    <col min="6" max="6" width="26.85546875" style="2" customWidth="1"/>
    <col min="7" max="7" width="11.85546875" style="40" customWidth="1"/>
    <col min="8" max="8" width="18.140625" style="3" customWidth="1"/>
    <col min="9" max="16384" width="9.140625" style="3"/>
  </cols>
  <sheetData>
    <row r="1" spans="1:8" s="2" customFormat="1" ht="29.1" customHeight="1" x14ac:dyDescent="0.2">
      <c r="A1" s="58" t="s">
        <v>742</v>
      </c>
      <c r="B1" s="59"/>
      <c r="C1" s="60"/>
      <c r="D1" s="60"/>
      <c r="E1" s="60"/>
      <c r="F1" s="60"/>
      <c r="G1" s="60"/>
      <c r="H1" s="61"/>
    </row>
    <row r="2" spans="1:8" s="2" customFormat="1" ht="62.1" customHeight="1" x14ac:dyDescent="0.2">
      <c r="A2" s="68"/>
      <c r="B2" s="69"/>
      <c r="C2" s="69"/>
      <c r="D2" s="69"/>
      <c r="E2" s="69"/>
      <c r="F2" s="69"/>
      <c r="G2" s="69"/>
      <c r="H2" s="70"/>
    </row>
    <row r="3" spans="1:8" s="1" customFormat="1" ht="12.75" customHeight="1" x14ac:dyDescent="0.2">
      <c r="A3" s="71" t="s">
        <v>1</v>
      </c>
      <c r="B3" s="73" t="s">
        <v>2</v>
      </c>
      <c r="C3" s="72" t="s">
        <v>3</v>
      </c>
      <c r="D3" s="72" t="s">
        <v>4</v>
      </c>
      <c r="E3" s="73" t="s">
        <v>6</v>
      </c>
      <c r="F3" s="73" t="s">
        <v>743</v>
      </c>
      <c r="G3" s="73"/>
      <c r="H3" s="74" t="s">
        <v>12</v>
      </c>
    </row>
    <row r="4" spans="1:8" s="1" customFormat="1" ht="21" customHeight="1" thickBot="1" x14ac:dyDescent="0.25">
      <c r="A4" s="66"/>
      <c r="B4" s="57"/>
      <c r="C4" s="53"/>
      <c r="D4" s="53"/>
      <c r="E4" s="53"/>
      <c r="F4" s="46" t="s">
        <v>645</v>
      </c>
      <c r="G4" s="37" t="s">
        <v>646</v>
      </c>
      <c r="H4" s="55"/>
    </row>
    <row r="5" spans="1:8" ht="15" x14ac:dyDescent="0.2">
      <c r="A5" s="49" t="s">
        <v>231</v>
      </c>
      <c r="B5" s="49"/>
      <c r="C5" s="56"/>
      <c r="D5" s="56"/>
      <c r="E5" s="56"/>
      <c r="F5" s="56"/>
      <c r="G5" s="56"/>
    </row>
    <row r="6" spans="1:8" x14ac:dyDescent="0.2">
      <c r="A6" s="31" t="s">
        <v>15</v>
      </c>
      <c r="B6" s="10" t="s">
        <v>732</v>
      </c>
      <c r="C6" s="4" t="s">
        <v>733</v>
      </c>
      <c r="D6" s="4" t="s">
        <v>734</v>
      </c>
      <c r="E6" s="4" t="s">
        <v>735</v>
      </c>
      <c r="F6" s="7" t="s">
        <v>24</v>
      </c>
      <c r="G6" s="41">
        <v>22</v>
      </c>
      <c r="H6" s="4" t="s">
        <v>64</v>
      </c>
    </row>
    <row r="7" spans="1:8" x14ac:dyDescent="0.2">
      <c r="B7" s="5" t="s">
        <v>51</v>
      </c>
    </row>
    <row r="8" spans="1:8" ht="15" x14ac:dyDescent="0.2">
      <c r="A8" s="49" t="s">
        <v>730</v>
      </c>
      <c r="B8" s="49"/>
      <c r="C8" s="49"/>
      <c r="D8" s="49"/>
      <c r="E8" s="49"/>
      <c r="F8" s="49"/>
      <c r="G8" s="49"/>
    </row>
    <row r="9" spans="1:8" x14ac:dyDescent="0.2">
      <c r="A9" s="31" t="s">
        <v>15</v>
      </c>
      <c r="B9" s="10" t="s">
        <v>726</v>
      </c>
      <c r="C9" s="4" t="s">
        <v>727</v>
      </c>
      <c r="D9" s="4" t="s">
        <v>728</v>
      </c>
      <c r="E9" s="4" t="s">
        <v>729</v>
      </c>
      <c r="F9" s="7" t="s">
        <v>24</v>
      </c>
      <c r="G9" s="41">
        <v>12</v>
      </c>
      <c r="H9" s="4" t="s">
        <v>64</v>
      </c>
    </row>
    <row r="10" spans="1:8" x14ac:dyDescent="0.2">
      <c r="B10" s="5" t="s">
        <v>51</v>
      </c>
    </row>
  </sheetData>
  <mergeCells count="10">
    <mergeCell ref="A1:H2"/>
    <mergeCell ref="A3:A4"/>
    <mergeCell ref="C3:C4"/>
    <mergeCell ref="D3:D4"/>
    <mergeCell ref="E3:E4"/>
    <mergeCell ref="A8:G8"/>
    <mergeCell ref="B3:B4"/>
    <mergeCell ref="F3:G3"/>
    <mergeCell ref="H3:H4"/>
    <mergeCell ref="A5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H10"/>
  <sheetViews>
    <sheetView workbookViewId="0">
      <selection sqref="A1:H2"/>
    </sheetView>
  </sheetViews>
  <sheetFormatPr baseColWidth="10" defaultColWidth="9.140625" defaultRowHeight="12.75" x14ac:dyDescent="0.2"/>
  <cols>
    <col min="1" max="1" width="7.42578125" style="5" bestFit="1" customWidth="1"/>
    <col min="2" max="2" width="20.140625" style="5" bestFit="1" customWidth="1"/>
    <col min="3" max="3" width="28.42578125" style="3" bestFit="1" customWidth="1"/>
    <col min="4" max="5" width="15.42578125" style="3" bestFit="1" customWidth="1"/>
    <col min="6" max="6" width="18.42578125" style="2" customWidth="1"/>
    <col min="7" max="7" width="14.28515625" style="40" customWidth="1"/>
    <col min="8" max="8" width="15.42578125" style="3" bestFit="1" customWidth="1"/>
    <col min="9" max="16384" width="9.140625" style="3"/>
  </cols>
  <sheetData>
    <row r="1" spans="1:8" s="2" customFormat="1" ht="29.1" customHeight="1" x14ac:dyDescent="0.2">
      <c r="A1" s="58" t="s">
        <v>744</v>
      </c>
      <c r="B1" s="59"/>
      <c r="C1" s="60"/>
      <c r="D1" s="60"/>
      <c r="E1" s="60"/>
      <c r="F1" s="60"/>
      <c r="G1" s="60"/>
      <c r="H1" s="61"/>
    </row>
    <row r="2" spans="1:8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4"/>
    </row>
    <row r="3" spans="1:8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6</v>
      </c>
      <c r="F3" s="52" t="s">
        <v>743</v>
      </c>
      <c r="G3" s="52"/>
      <c r="H3" s="54" t="s">
        <v>12</v>
      </c>
    </row>
    <row r="4" spans="1:8" s="1" customFormat="1" ht="21" customHeight="1" thickBot="1" x14ac:dyDescent="0.25">
      <c r="A4" s="66"/>
      <c r="B4" s="57"/>
      <c r="C4" s="53"/>
      <c r="D4" s="53"/>
      <c r="E4" s="53"/>
      <c r="F4" s="46" t="s">
        <v>645</v>
      </c>
      <c r="G4" s="37" t="s">
        <v>646</v>
      </c>
      <c r="H4" s="55"/>
    </row>
    <row r="5" spans="1:8" ht="15" x14ac:dyDescent="0.2">
      <c r="A5" s="49" t="s">
        <v>320</v>
      </c>
      <c r="B5" s="49"/>
      <c r="C5" s="56"/>
      <c r="D5" s="56"/>
      <c r="E5" s="56"/>
      <c r="F5" s="56"/>
      <c r="G5" s="56"/>
    </row>
    <row r="6" spans="1:8" x14ac:dyDescent="0.2">
      <c r="A6" s="10" t="s">
        <v>15</v>
      </c>
      <c r="B6" s="10" t="s">
        <v>745</v>
      </c>
      <c r="C6" s="4" t="s">
        <v>746</v>
      </c>
      <c r="D6" s="4" t="s">
        <v>747</v>
      </c>
      <c r="E6" s="4" t="s">
        <v>748</v>
      </c>
      <c r="F6" s="7" t="s">
        <v>721</v>
      </c>
      <c r="G6" s="41">
        <v>26</v>
      </c>
      <c r="H6" s="4" t="s">
        <v>64</v>
      </c>
    </row>
    <row r="7" spans="1:8" x14ac:dyDescent="0.2">
      <c r="B7" s="5" t="s">
        <v>51</v>
      </c>
    </row>
    <row r="8" spans="1:8" ht="15" x14ac:dyDescent="0.2">
      <c r="A8" s="49" t="s">
        <v>102</v>
      </c>
      <c r="B8" s="49"/>
      <c r="C8" s="49"/>
      <c r="D8" s="49"/>
      <c r="E8" s="49"/>
      <c r="F8" s="49"/>
      <c r="G8" s="49"/>
    </row>
    <row r="9" spans="1:8" x14ac:dyDescent="0.2">
      <c r="A9" s="10" t="s">
        <v>15</v>
      </c>
      <c r="B9" s="10" t="s">
        <v>749</v>
      </c>
      <c r="C9" s="4" t="s">
        <v>750</v>
      </c>
      <c r="D9" s="4" t="s">
        <v>751</v>
      </c>
      <c r="E9" s="4" t="s">
        <v>735</v>
      </c>
      <c r="F9" s="7" t="s">
        <v>721</v>
      </c>
      <c r="G9" s="41">
        <v>18</v>
      </c>
      <c r="H9" s="4" t="s">
        <v>752</v>
      </c>
    </row>
    <row r="10" spans="1:8" x14ac:dyDescent="0.2">
      <c r="B10" s="5" t="s">
        <v>51</v>
      </c>
    </row>
  </sheetData>
  <mergeCells count="10">
    <mergeCell ref="A1:H2"/>
    <mergeCell ref="A3:A4"/>
    <mergeCell ref="C3:C4"/>
    <mergeCell ref="D3:D4"/>
    <mergeCell ref="E3:E4"/>
    <mergeCell ref="A8:G8"/>
    <mergeCell ref="B3:B4"/>
    <mergeCell ref="F3:G3"/>
    <mergeCell ref="H3:H4"/>
    <mergeCell ref="A5:G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7"/>
  <sheetViews>
    <sheetView workbookViewId="0">
      <selection sqref="A1:H2"/>
    </sheetView>
  </sheetViews>
  <sheetFormatPr baseColWidth="10" defaultColWidth="9.140625" defaultRowHeight="12.75" x14ac:dyDescent="0.2"/>
  <cols>
    <col min="1" max="1" width="7.42578125" style="6" bestFit="1" customWidth="1"/>
    <col min="2" max="2" width="15" style="5" bestFit="1" customWidth="1"/>
    <col min="3" max="3" width="26.28515625" style="3" bestFit="1" customWidth="1"/>
    <col min="4" max="5" width="15.42578125" style="3" bestFit="1" customWidth="1"/>
    <col min="6" max="7" width="16" style="2" customWidth="1"/>
    <col min="8" max="8" width="15.42578125" style="3" bestFit="1" customWidth="1"/>
    <col min="9" max="16384" width="9.140625" style="3"/>
  </cols>
  <sheetData>
    <row r="1" spans="1:8" s="2" customFormat="1" ht="29.1" customHeight="1" x14ac:dyDescent="0.2">
      <c r="A1" s="58" t="s">
        <v>753</v>
      </c>
      <c r="B1" s="59"/>
      <c r="C1" s="60"/>
      <c r="D1" s="60"/>
      <c r="E1" s="60"/>
      <c r="F1" s="60"/>
      <c r="G1" s="60"/>
      <c r="H1" s="61"/>
    </row>
    <row r="2" spans="1:8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4"/>
    </row>
    <row r="3" spans="1:8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6</v>
      </c>
      <c r="F3" s="52" t="s">
        <v>743</v>
      </c>
      <c r="G3" s="52"/>
      <c r="H3" s="54" t="s">
        <v>12</v>
      </c>
    </row>
    <row r="4" spans="1:8" s="1" customFormat="1" ht="21" customHeight="1" thickBot="1" x14ac:dyDescent="0.25">
      <c r="A4" s="66"/>
      <c r="B4" s="57"/>
      <c r="C4" s="53"/>
      <c r="D4" s="53"/>
      <c r="E4" s="53"/>
      <c r="F4" s="46" t="s">
        <v>645</v>
      </c>
      <c r="G4" s="46" t="s">
        <v>646</v>
      </c>
      <c r="H4" s="55"/>
    </row>
    <row r="5" spans="1:8" ht="15" x14ac:dyDescent="0.2">
      <c r="A5" s="49" t="s">
        <v>102</v>
      </c>
      <c r="B5" s="49"/>
      <c r="C5" s="56"/>
      <c r="D5" s="56"/>
      <c r="E5" s="56"/>
      <c r="F5" s="56"/>
      <c r="G5" s="56"/>
    </row>
    <row r="6" spans="1:8" x14ac:dyDescent="0.2">
      <c r="A6" s="31" t="s">
        <v>15</v>
      </c>
      <c r="B6" s="10" t="s">
        <v>754</v>
      </c>
      <c r="C6" s="4" t="s">
        <v>755</v>
      </c>
      <c r="D6" s="4" t="s">
        <v>756</v>
      </c>
      <c r="E6" s="4" t="s">
        <v>47</v>
      </c>
      <c r="F6" s="7" t="s">
        <v>731</v>
      </c>
      <c r="G6" s="41">
        <v>19</v>
      </c>
      <c r="H6" s="4" t="s">
        <v>64</v>
      </c>
    </row>
    <row r="7" spans="1:8" x14ac:dyDescent="0.2">
      <c r="B7" s="5" t="s">
        <v>51</v>
      </c>
    </row>
  </sheetData>
  <mergeCells count="9">
    <mergeCell ref="A5:G5"/>
    <mergeCell ref="B3:B4"/>
    <mergeCell ref="A1:H2"/>
    <mergeCell ref="A3:A4"/>
    <mergeCell ref="C3:C4"/>
    <mergeCell ref="D3:D4"/>
    <mergeCell ref="E3:E4"/>
    <mergeCell ref="F3:G3"/>
    <mergeCell ref="H3:H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7"/>
  <sheetViews>
    <sheetView tabSelected="1" workbookViewId="0">
      <selection sqref="A1:H2"/>
    </sheetView>
  </sheetViews>
  <sheetFormatPr baseColWidth="10" defaultColWidth="9.140625" defaultRowHeight="12.75" x14ac:dyDescent="0.2"/>
  <cols>
    <col min="1" max="1" width="7.42578125" style="6" bestFit="1" customWidth="1"/>
    <col min="2" max="2" width="14.7109375" style="5" bestFit="1" customWidth="1"/>
    <col min="3" max="3" width="27.7109375" style="3" bestFit="1" customWidth="1"/>
    <col min="4" max="5" width="15.42578125" style="3" bestFit="1" customWidth="1"/>
    <col min="6" max="6" width="19.140625" style="2" customWidth="1"/>
    <col min="7" max="7" width="19.140625" style="40" customWidth="1"/>
    <col min="8" max="8" width="15.42578125" style="3" bestFit="1" customWidth="1"/>
    <col min="9" max="16384" width="9.140625" style="3"/>
  </cols>
  <sheetData>
    <row r="1" spans="1:8" s="2" customFormat="1" ht="29.1" customHeight="1" x14ac:dyDescent="0.2">
      <c r="A1" s="58" t="s">
        <v>757</v>
      </c>
      <c r="B1" s="59"/>
      <c r="C1" s="60"/>
      <c r="D1" s="60"/>
      <c r="E1" s="60"/>
      <c r="F1" s="60"/>
      <c r="G1" s="60"/>
      <c r="H1" s="61"/>
    </row>
    <row r="2" spans="1:8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4"/>
    </row>
    <row r="3" spans="1:8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6</v>
      </c>
      <c r="F3" s="52" t="s">
        <v>737</v>
      </c>
      <c r="G3" s="52"/>
      <c r="H3" s="54" t="s">
        <v>12</v>
      </c>
    </row>
    <row r="4" spans="1:8" s="1" customFormat="1" ht="21" customHeight="1" thickBot="1" x14ac:dyDescent="0.25">
      <c r="A4" s="66"/>
      <c r="B4" s="57"/>
      <c r="C4" s="53"/>
      <c r="D4" s="53"/>
      <c r="E4" s="53"/>
      <c r="F4" s="46" t="s">
        <v>645</v>
      </c>
      <c r="G4" s="37" t="s">
        <v>646</v>
      </c>
      <c r="H4" s="55"/>
    </row>
    <row r="5" spans="1:8" ht="15" x14ac:dyDescent="0.2">
      <c r="A5" s="49" t="s">
        <v>102</v>
      </c>
      <c r="B5" s="49"/>
      <c r="C5" s="56"/>
      <c r="D5" s="56"/>
      <c r="E5" s="56"/>
      <c r="F5" s="56"/>
      <c r="G5" s="56"/>
    </row>
    <row r="6" spans="1:8" x14ac:dyDescent="0.2">
      <c r="A6" s="31" t="s">
        <v>15</v>
      </c>
      <c r="B6" s="10" t="s">
        <v>758</v>
      </c>
      <c r="C6" s="4" t="s">
        <v>759</v>
      </c>
      <c r="D6" s="4" t="s">
        <v>724</v>
      </c>
      <c r="E6" s="4" t="s">
        <v>47</v>
      </c>
      <c r="F6" s="7" t="s">
        <v>760</v>
      </c>
      <c r="G6" s="41">
        <v>7</v>
      </c>
      <c r="H6" s="4" t="s">
        <v>64</v>
      </c>
    </row>
    <row r="7" spans="1:8" x14ac:dyDescent="0.2">
      <c r="B7" s="5" t="s">
        <v>51</v>
      </c>
    </row>
  </sheetData>
  <mergeCells count="9">
    <mergeCell ref="A5:G5"/>
    <mergeCell ref="B3:B4"/>
    <mergeCell ref="A1:H2"/>
    <mergeCell ref="A3:A4"/>
    <mergeCell ref="C3:C4"/>
    <mergeCell ref="D3:D4"/>
    <mergeCell ref="E3:E4"/>
    <mergeCell ref="F3:G3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U64"/>
  <sheetViews>
    <sheetView workbookViewId="0">
      <selection activeCell="T7" sqref="T7"/>
    </sheetView>
  </sheetViews>
  <sheetFormatPr baseColWidth="10" defaultColWidth="9.140625" defaultRowHeight="12.75" x14ac:dyDescent="0.2"/>
  <cols>
    <col min="1" max="1" width="7.42578125" style="6" bestFit="1" customWidth="1"/>
    <col min="2" max="2" width="18.7109375" style="5" bestFit="1" customWidth="1"/>
    <col min="3" max="3" width="27.85546875" style="3" customWidth="1"/>
    <col min="4" max="4" width="21.42578125" style="3" bestFit="1" customWidth="1"/>
    <col min="5" max="5" width="10.42578125" style="3" bestFit="1" customWidth="1"/>
    <col min="6" max="6" width="22.28515625" style="3" bestFit="1" customWidth="1"/>
    <col min="7" max="9" width="5.42578125" style="2" customWidth="1"/>
    <col min="10" max="10" width="4.85546875" style="2" customWidth="1"/>
    <col min="11" max="13" width="5.42578125" style="2" customWidth="1"/>
    <col min="14" max="14" width="4.85546875" style="2" customWidth="1"/>
    <col min="15" max="17" width="5.42578125" style="2" customWidth="1"/>
    <col min="18" max="18" width="4.85546875" style="2" customWidth="1"/>
    <col min="19" max="19" width="7.85546875" style="32" bestFit="1" customWidth="1"/>
    <col min="20" max="20" width="10.7109375" style="2" customWidth="1"/>
    <col min="21" max="21" width="18.7109375" style="3" bestFit="1" customWidth="1"/>
    <col min="22" max="16384" width="9.140625" style="3"/>
  </cols>
  <sheetData>
    <row r="1" spans="1:21" s="2" customFormat="1" ht="29.1" customHeight="1" x14ac:dyDescent="0.2">
      <c r="A1" s="58" t="s">
        <v>309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5</v>
      </c>
      <c r="F3" s="52" t="s">
        <v>6</v>
      </c>
      <c r="G3" s="52" t="s">
        <v>7</v>
      </c>
      <c r="H3" s="52"/>
      <c r="I3" s="52"/>
      <c r="J3" s="52"/>
      <c r="K3" s="52" t="s">
        <v>8</v>
      </c>
      <c r="L3" s="52"/>
      <c r="M3" s="52"/>
      <c r="N3" s="52"/>
      <c r="O3" s="52" t="s">
        <v>9</v>
      </c>
      <c r="P3" s="52"/>
      <c r="Q3" s="52"/>
      <c r="R3" s="52"/>
      <c r="S3" s="50" t="s">
        <v>10</v>
      </c>
      <c r="T3" s="52" t="s">
        <v>11</v>
      </c>
      <c r="U3" s="54" t="s">
        <v>12</v>
      </c>
    </row>
    <row r="4" spans="1:21" s="1" customFormat="1" ht="21" customHeight="1" thickBot="1" x14ac:dyDescent="0.25">
      <c r="A4" s="66"/>
      <c r="B4" s="57"/>
      <c r="C4" s="53"/>
      <c r="D4" s="53"/>
      <c r="E4" s="53"/>
      <c r="F4" s="53"/>
      <c r="G4" s="46">
        <v>1</v>
      </c>
      <c r="H4" s="46">
        <v>2</v>
      </c>
      <c r="I4" s="46">
        <v>3</v>
      </c>
      <c r="J4" s="46" t="s">
        <v>13</v>
      </c>
      <c r="K4" s="46">
        <v>1</v>
      </c>
      <c r="L4" s="46">
        <v>2</v>
      </c>
      <c r="M4" s="46">
        <v>3</v>
      </c>
      <c r="N4" s="46" t="s">
        <v>13</v>
      </c>
      <c r="O4" s="46">
        <v>1</v>
      </c>
      <c r="P4" s="46">
        <v>2</v>
      </c>
      <c r="Q4" s="46">
        <v>3</v>
      </c>
      <c r="R4" s="46" t="s">
        <v>13</v>
      </c>
      <c r="S4" s="51"/>
      <c r="T4" s="53"/>
      <c r="U4" s="55"/>
    </row>
    <row r="5" spans="1:21" ht="15" x14ac:dyDescent="0.2">
      <c r="A5" s="49" t="s">
        <v>310</v>
      </c>
      <c r="B5" s="4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 x14ac:dyDescent="0.2">
      <c r="A6" s="31" t="s">
        <v>15</v>
      </c>
      <c r="B6" s="10" t="s">
        <v>311</v>
      </c>
      <c r="C6" s="4" t="s">
        <v>312</v>
      </c>
      <c r="D6" s="4" t="s">
        <v>313</v>
      </c>
      <c r="E6" s="43">
        <v>1.3285</v>
      </c>
      <c r="F6" s="4" t="s">
        <v>260</v>
      </c>
      <c r="G6" s="8" t="s">
        <v>33</v>
      </c>
      <c r="H6" s="9" t="s">
        <v>163</v>
      </c>
      <c r="I6" s="9" t="s">
        <v>163</v>
      </c>
      <c r="J6" s="7"/>
      <c r="K6" s="8" t="s">
        <v>35</v>
      </c>
      <c r="L6" s="9" t="s">
        <v>36</v>
      </c>
      <c r="M6" s="8" t="s">
        <v>36</v>
      </c>
      <c r="N6" s="7"/>
      <c r="O6" s="8" t="s">
        <v>57</v>
      </c>
      <c r="P6" s="8" t="s">
        <v>314</v>
      </c>
      <c r="Q6" s="9" t="s">
        <v>126</v>
      </c>
      <c r="R6" s="7"/>
      <c r="S6" s="36" t="str">
        <f>"255,0"</f>
        <v>255,0</v>
      </c>
      <c r="T6" s="44">
        <f>S6*E6</f>
        <v>338.76749999999998</v>
      </c>
      <c r="U6" s="4" t="s">
        <v>315</v>
      </c>
    </row>
    <row r="7" spans="1:21" x14ac:dyDescent="0.2">
      <c r="B7" s="5" t="s">
        <v>51</v>
      </c>
    </row>
    <row r="8" spans="1:21" ht="15" x14ac:dyDescent="0.2">
      <c r="A8" s="49" t="s">
        <v>52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 x14ac:dyDescent="0.2">
      <c r="A9" s="31" t="s">
        <v>15</v>
      </c>
      <c r="B9" s="10" t="s">
        <v>316</v>
      </c>
      <c r="C9" s="4" t="s">
        <v>317</v>
      </c>
      <c r="D9" s="4" t="s">
        <v>318</v>
      </c>
      <c r="E9" s="4" t="str">
        <f>"1,1916"</f>
        <v>1,1916</v>
      </c>
      <c r="F9" s="4" t="s">
        <v>319</v>
      </c>
      <c r="G9" s="9" t="s">
        <v>89</v>
      </c>
      <c r="H9" s="8" t="s">
        <v>198</v>
      </c>
      <c r="I9" s="8" t="s">
        <v>62</v>
      </c>
      <c r="J9" s="7"/>
      <c r="K9" s="8" t="s">
        <v>60</v>
      </c>
      <c r="L9" s="9" t="s">
        <v>48</v>
      </c>
      <c r="M9" s="8" t="s">
        <v>48</v>
      </c>
      <c r="N9" s="7"/>
      <c r="O9" s="8" t="s">
        <v>146</v>
      </c>
      <c r="P9" s="9" t="s">
        <v>148</v>
      </c>
      <c r="Q9" s="8" t="s">
        <v>148</v>
      </c>
      <c r="R9" s="7"/>
      <c r="S9" s="36" t="str">
        <f>"405,0"</f>
        <v>405,0</v>
      </c>
      <c r="T9" s="7" t="str">
        <f>"482,5980"</f>
        <v>482,5980</v>
      </c>
      <c r="U9" s="4" t="s">
        <v>315</v>
      </c>
    </row>
    <row r="10" spans="1:21" x14ac:dyDescent="0.2">
      <c r="B10" s="5" t="s">
        <v>51</v>
      </c>
    </row>
    <row r="11" spans="1:21" ht="15" x14ac:dyDescent="0.2">
      <c r="A11" s="49" t="s">
        <v>320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 x14ac:dyDescent="0.2">
      <c r="A12" s="28" t="s">
        <v>15</v>
      </c>
      <c r="B12" s="17" t="s">
        <v>321</v>
      </c>
      <c r="C12" s="11" t="s">
        <v>322</v>
      </c>
      <c r="D12" s="11" t="s">
        <v>323</v>
      </c>
      <c r="E12" s="11" t="str">
        <f>"1,1149"</f>
        <v>1,1149</v>
      </c>
      <c r="F12" s="11" t="s">
        <v>260</v>
      </c>
      <c r="G12" s="22" t="s">
        <v>61</v>
      </c>
      <c r="H12" s="20" t="s">
        <v>61</v>
      </c>
      <c r="I12" s="20" t="s">
        <v>178</v>
      </c>
      <c r="J12" s="14"/>
      <c r="K12" s="20" t="s">
        <v>21</v>
      </c>
      <c r="L12" s="20" t="s">
        <v>22</v>
      </c>
      <c r="M12" s="22" t="s">
        <v>33</v>
      </c>
      <c r="N12" s="14"/>
      <c r="O12" s="20" t="s">
        <v>268</v>
      </c>
      <c r="P12" s="22" t="s">
        <v>246</v>
      </c>
      <c r="Q12" s="22" t="s">
        <v>246</v>
      </c>
      <c r="R12" s="14"/>
      <c r="S12" s="33" t="str">
        <f>"390,0"</f>
        <v>390,0</v>
      </c>
      <c r="T12" s="14" t="str">
        <f>"434,8110"</f>
        <v>434,8110</v>
      </c>
      <c r="U12" s="11" t="s">
        <v>315</v>
      </c>
    </row>
    <row r="13" spans="1:21" x14ac:dyDescent="0.2">
      <c r="A13" s="29" t="s">
        <v>41</v>
      </c>
      <c r="B13" s="18" t="s">
        <v>324</v>
      </c>
      <c r="C13" s="12" t="s">
        <v>325</v>
      </c>
      <c r="D13" s="12" t="s">
        <v>323</v>
      </c>
      <c r="E13" s="12" t="str">
        <f>"1,1149"</f>
        <v>1,1149</v>
      </c>
      <c r="F13" s="12" t="s">
        <v>162</v>
      </c>
      <c r="G13" s="23" t="s">
        <v>38</v>
      </c>
      <c r="H13" s="23" t="s">
        <v>81</v>
      </c>
      <c r="I13" s="24" t="s">
        <v>61</v>
      </c>
      <c r="J13" s="15"/>
      <c r="K13" s="23" t="s">
        <v>120</v>
      </c>
      <c r="L13" s="23" t="s">
        <v>49</v>
      </c>
      <c r="M13" s="24" t="s">
        <v>32</v>
      </c>
      <c r="N13" s="15"/>
      <c r="O13" s="23" t="s">
        <v>39</v>
      </c>
      <c r="P13" s="23" t="s">
        <v>61</v>
      </c>
      <c r="Q13" s="23" t="s">
        <v>83</v>
      </c>
      <c r="R13" s="15"/>
      <c r="S13" s="34" t="str">
        <f>"350,0"</f>
        <v>350,0</v>
      </c>
      <c r="T13" s="15" t="str">
        <f>"390,2150"</f>
        <v>390,2150</v>
      </c>
      <c r="U13" s="12" t="s">
        <v>115</v>
      </c>
    </row>
    <row r="14" spans="1:21" x14ac:dyDescent="0.2">
      <c r="A14" s="30" t="s">
        <v>43</v>
      </c>
      <c r="B14" s="19" t="s">
        <v>326</v>
      </c>
      <c r="C14" s="13" t="s">
        <v>327</v>
      </c>
      <c r="D14" s="13" t="s">
        <v>328</v>
      </c>
      <c r="E14" s="13" t="str">
        <f>"1,1163"</f>
        <v>1,1163</v>
      </c>
      <c r="F14" s="13" t="s">
        <v>260</v>
      </c>
      <c r="G14" s="21" t="s">
        <v>68</v>
      </c>
      <c r="H14" s="21" t="s">
        <v>32</v>
      </c>
      <c r="I14" s="21" t="s">
        <v>33</v>
      </c>
      <c r="J14" s="16"/>
      <c r="K14" s="21" t="s">
        <v>34</v>
      </c>
      <c r="L14" s="21" t="s">
        <v>36</v>
      </c>
      <c r="M14" s="25" t="s">
        <v>24</v>
      </c>
      <c r="N14" s="16"/>
      <c r="O14" s="21" t="s">
        <v>49</v>
      </c>
      <c r="P14" s="21" t="s">
        <v>22</v>
      </c>
      <c r="Q14" s="21" t="s">
        <v>26</v>
      </c>
      <c r="R14" s="16"/>
      <c r="S14" s="35" t="str">
        <f>"237,5"</f>
        <v>237,5</v>
      </c>
      <c r="T14" s="16" t="str">
        <f>"265,1212"</f>
        <v>265,1212</v>
      </c>
      <c r="U14" s="13" t="s">
        <v>329</v>
      </c>
    </row>
    <row r="15" spans="1:21" x14ac:dyDescent="0.2">
      <c r="B15" s="5" t="s">
        <v>51</v>
      </c>
    </row>
    <row r="16" spans="1:21" ht="15" x14ac:dyDescent="0.2">
      <c r="A16" s="49" t="s">
        <v>173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21" x14ac:dyDescent="0.2">
      <c r="A17" s="28" t="s">
        <v>15</v>
      </c>
      <c r="B17" s="17" t="s">
        <v>330</v>
      </c>
      <c r="C17" s="11" t="s">
        <v>331</v>
      </c>
      <c r="D17" s="11" t="s">
        <v>332</v>
      </c>
      <c r="E17" s="11" t="str">
        <f>"0,9215"</f>
        <v>0,9215</v>
      </c>
      <c r="F17" s="11" t="s">
        <v>47</v>
      </c>
      <c r="G17" s="20" t="s">
        <v>155</v>
      </c>
      <c r="H17" s="22" t="s">
        <v>165</v>
      </c>
      <c r="I17" s="22" t="s">
        <v>165</v>
      </c>
      <c r="J17" s="14"/>
      <c r="K17" s="20" t="s">
        <v>25</v>
      </c>
      <c r="L17" s="20" t="s">
        <v>26</v>
      </c>
      <c r="M17" s="22" t="s">
        <v>82</v>
      </c>
      <c r="N17" s="14"/>
      <c r="O17" s="20" t="s">
        <v>172</v>
      </c>
      <c r="P17" s="20" t="s">
        <v>165</v>
      </c>
      <c r="Q17" s="14"/>
      <c r="R17" s="14"/>
      <c r="S17" s="33" t="str">
        <f>"430,0"</f>
        <v>430,0</v>
      </c>
      <c r="T17" s="14" t="str">
        <f>"396,2450"</f>
        <v>396,2450</v>
      </c>
      <c r="U17" s="11" t="s">
        <v>333</v>
      </c>
    </row>
    <row r="18" spans="1:21" x14ac:dyDescent="0.2">
      <c r="A18" s="29" t="s">
        <v>15</v>
      </c>
      <c r="B18" s="18" t="s">
        <v>334</v>
      </c>
      <c r="C18" s="12" t="s">
        <v>335</v>
      </c>
      <c r="D18" s="12" t="s">
        <v>336</v>
      </c>
      <c r="E18" s="12" t="str">
        <f>"0,9290"</f>
        <v>0,9290</v>
      </c>
      <c r="F18" s="12" t="s">
        <v>260</v>
      </c>
      <c r="G18" s="23" t="s">
        <v>84</v>
      </c>
      <c r="H18" s="23" t="s">
        <v>155</v>
      </c>
      <c r="I18" s="23" t="s">
        <v>172</v>
      </c>
      <c r="J18" s="15"/>
      <c r="K18" s="23" t="s">
        <v>337</v>
      </c>
      <c r="L18" s="23" t="s">
        <v>37</v>
      </c>
      <c r="M18" s="23" t="s">
        <v>314</v>
      </c>
      <c r="N18" s="15"/>
      <c r="O18" s="23" t="s">
        <v>147</v>
      </c>
      <c r="P18" s="23" t="s">
        <v>135</v>
      </c>
      <c r="Q18" s="24" t="s">
        <v>136</v>
      </c>
      <c r="R18" s="15"/>
      <c r="S18" s="34" t="str">
        <f>"472,5"</f>
        <v>472,5</v>
      </c>
      <c r="T18" s="15" t="str">
        <f>"438,9525"</f>
        <v>438,9525</v>
      </c>
      <c r="U18" s="12" t="s">
        <v>315</v>
      </c>
    </row>
    <row r="19" spans="1:21" x14ac:dyDescent="0.2">
      <c r="A19" s="30" t="s">
        <v>41</v>
      </c>
      <c r="B19" s="19" t="s">
        <v>330</v>
      </c>
      <c r="C19" s="13" t="s">
        <v>338</v>
      </c>
      <c r="D19" s="13" t="s">
        <v>332</v>
      </c>
      <c r="E19" s="13" t="str">
        <f>"0,9215"</f>
        <v>0,9215</v>
      </c>
      <c r="F19" s="13" t="s">
        <v>47</v>
      </c>
      <c r="G19" s="21" t="s">
        <v>155</v>
      </c>
      <c r="H19" s="25" t="s">
        <v>165</v>
      </c>
      <c r="I19" s="25" t="s">
        <v>165</v>
      </c>
      <c r="J19" s="16"/>
      <c r="K19" s="21" t="s">
        <v>25</v>
      </c>
      <c r="L19" s="21" t="s">
        <v>26</v>
      </c>
      <c r="M19" s="25" t="s">
        <v>82</v>
      </c>
      <c r="N19" s="16"/>
      <c r="O19" s="21" t="s">
        <v>172</v>
      </c>
      <c r="P19" s="21" t="s">
        <v>165</v>
      </c>
      <c r="Q19" s="16"/>
      <c r="R19" s="16"/>
      <c r="S19" s="35" t="str">
        <f>"430,0"</f>
        <v>430,0</v>
      </c>
      <c r="T19" s="16" t="str">
        <f>"396,2450"</f>
        <v>396,2450</v>
      </c>
      <c r="U19" s="13" t="s">
        <v>333</v>
      </c>
    </row>
    <row r="20" spans="1:21" x14ac:dyDescent="0.2">
      <c r="B20" s="5" t="s">
        <v>51</v>
      </c>
    </row>
    <row r="21" spans="1:21" ht="15" x14ac:dyDescent="0.2">
      <c r="A21" s="49" t="s">
        <v>102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21" x14ac:dyDescent="0.2">
      <c r="A22" s="31" t="s">
        <v>15</v>
      </c>
      <c r="B22" s="10" t="s">
        <v>166</v>
      </c>
      <c r="C22" s="4" t="s">
        <v>167</v>
      </c>
      <c r="D22" s="4" t="s">
        <v>168</v>
      </c>
      <c r="E22" s="4" t="str">
        <f>"0,7578"</f>
        <v>0,7578</v>
      </c>
      <c r="F22" s="4" t="s">
        <v>169</v>
      </c>
      <c r="G22" s="8" t="s">
        <v>37</v>
      </c>
      <c r="H22" s="8" t="s">
        <v>38</v>
      </c>
      <c r="I22" s="8" t="s">
        <v>170</v>
      </c>
      <c r="J22" s="7"/>
      <c r="K22" s="9" t="s">
        <v>49</v>
      </c>
      <c r="L22" s="8" t="s">
        <v>49</v>
      </c>
      <c r="M22" s="9" t="s">
        <v>171</v>
      </c>
      <c r="N22" s="7"/>
      <c r="O22" s="8" t="s">
        <v>125</v>
      </c>
      <c r="P22" s="8" t="s">
        <v>155</v>
      </c>
      <c r="Q22" s="8" t="s">
        <v>172</v>
      </c>
      <c r="R22" s="7"/>
      <c r="S22" s="36" t="str">
        <f>"375,5"</f>
        <v>375,5</v>
      </c>
      <c r="T22" s="7" t="str">
        <f>"401,2210"</f>
        <v>401,2210</v>
      </c>
      <c r="U22" s="4" t="s">
        <v>64</v>
      </c>
    </row>
    <row r="23" spans="1:21" x14ac:dyDescent="0.2">
      <c r="B23" s="5" t="s">
        <v>51</v>
      </c>
    </row>
    <row r="24" spans="1:21" ht="15" x14ac:dyDescent="0.2">
      <c r="A24" s="49" t="s">
        <v>209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1:21" x14ac:dyDescent="0.2">
      <c r="A25" s="28" t="s">
        <v>15</v>
      </c>
      <c r="B25" s="17" t="s">
        <v>339</v>
      </c>
      <c r="C25" s="11" t="s">
        <v>340</v>
      </c>
      <c r="D25" s="11" t="s">
        <v>341</v>
      </c>
      <c r="E25" s="11" t="str">
        <f>"0,6436"</f>
        <v>0,6436</v>
      </c>
      <c r="F25" s="11" t="s">
        <v>47</v>
      </c>
      <c r="G25" s="20" t="s">
        <v>204</v>
      </c>
      <c r="H25" s="20" t="s">
        <v>250</v>
      </c>
      <c r="I25" s="22" t="s">
        <v>186</v>
      </c>
      <c r="J25" s="14"/>
      <c r="K25" s="20" t="s">
        <v>125</v>
      </c>
      <c r="L25" s="20" t="s">
        <v>342</v>
      </c>
      <c r="M25" s="20" t="s">
        <v>165</v>
      </c>
      <c r="N25" s="14"/>
      <c r="O25" s="20" t="s">
        <v>194</v>
      </c>
      <c r="P25" s="20" t="s">
        <v>343</v>
      </c>
      <c r="Q25" s="20" t="s">
        <v>187</v>
      </c>
      <c r="R25" s="14"/>
      <c r="S25" s="33" t="str">
        <f>"672,5"</f>
        <v>672,5</v>
      </c>
      <c r="T25" s="14" t="str">
        <f>"432,8210"</f>
        <v>432,8210</v>
      </c>
      <c r="U25" s="11" t="s">
        <v>64</v>
      </c>
    </row>
    <row r="26" spans="1:21" x14ac:dyDescent="0.2">
      <c r="A26" s="30" t="s">
        <v>41</v>
      </c>
      <c r="B26" s="19" t="s">
        <v>344</v>
      </c>
      <c r="C26" s="13" t="s">
        <v>345</v>
      </c>
      <c r="D26" s="13" t="s">
        <v>346</v>
      </c>
      <c r="E26" s="13" t="str">
        <f>"0,6384"</f>
        <v>0,6384</v>
      </c>
      <c r="F26" s="13" t="s">
        <v>145</v>
      </c>
      <c r="G26" s="21" t="s">
        <v>128</v>
      </c>
      <c r="H26" s="21" t="s">
        <v>129</v>
      </c>
      <c r="I26" s="21" t="s">
        <v>130</v>
      </c>
      <c r="J26" s="16"/>
      <c r="K26" s="21" t="s">
        <v>155</v>
      </c>
      <c r="L26" s="21" t="s">
        <v>165</v>
      </c>
      <c r="M26" s="21" t="s">
        <v>223</v>
      </c>
      <c r="N26" s="16"/>
      <c r="O26" s="21" t="s">
        <v>128</v>
      </c>
      <c r="P26" s="21" t="s">
        <v>150</v>
      </c>
      <c r="Q26" s="21" t="s">
        <v>250</v>
      </c>
      <c r="R26" s="16"/>
      <c r="S26" s="35" t="str">
        <f>"657,5"</f>
        <v>657,5</v>
      </c>
      <c r="T26" s="16" t="str">
        <f>"419,7480"</f>
        <v>419,7480</v>
      </c>
      <c r="U26" s="13" t="s">
        <v>251</v>
      </c>
    </row>
    <row r="27" spans="1:21" x14ac:dyDescent="0.2">
      <c r="B27" s="5" t="s">
        <v>51</v>
      </c>
    </row>
    <row r="28" spans="1:21" ht="15" x14ac:dyDescent="0.2">
      <c r="A28" s="49" t="s">
        <v>231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21" x14ac:dyDescent="0.2">
      <c r="A29" s="28" t="s">
        <v>15</v>
      </c>
      <c r="B29" s="17" t="s">
        <v>347</v>
      </c>
      <c r="C29" s="11" t="s">
        <v>348</v>
      </c>
      <c r="D29" s="11" t="s">
        <v>349</v>
      </c>
      <c r="E29" s="11" t="str">
        <f>"0,6123"</f>
        <v>0,6123</v>
      </c>
      <c r="F29" s="11" t="s">
        <v>47</v>
      </c>
      <c r="G29" s="20" t="s">
        <v>128</v>
      </c>
      <c r="H29" s="20" t="s">
        <v>130</v>
      </c>
      <c r="I29" s="20" t="s">
        <v>187</v>
      </c>
      <c r="J29" s="14"/>
      <c r="K29" s="20" t="s">
        <v>165</v>
      </c>
      <c r="L29" s="20" t="s">
        <v>148</v>
      </c>
      <c r="M29" s="20" t="s">
        <v>136</v>
      </c>
      <c r="N29" s="14"/>
      <c r="O29" s="20" t="s">
        <v>130</v>
      </c>
      <c r="P29" s="20" t="s">
        <v>187</v>
      </c>
      <c r="Q29" s="20" t="s">
        <v>350</v>
      </c>
      <c r="R29" s="14"/>
      <c r="S29" s="33" t="str">
        <f>"740,0"</f>
        <v>740,0</v>
      </c>
      <c r="T29" s="14" t="str">
        <f>"453,1020"</f>
        <v>453,1020</v>
      </c>
      <c r="U29" s="11" t="s">
        <v>351</v>
      </c>
    </row>
    <row r="30" spans="1:21" x14ac:dyDescent="0.2">
      <c r="A30" s="29" t="s">
        <v>41</v>
      </c>
      <c r="B30" s="18" t="s">
        <v>352</v>
      </c>
      <c r="C30" s="12" t="s">
        <v>353</v>
      </c>
      <c r="D30" s="12" t="s">
        <v>354</v>
      </c>
      <c r="E30" s="12" t="str">
        <f>"0,6370"</f>
        <v>0,6370</v>
      </c>
      <c r="F30" s="12" t="s">
        <v>355</v>
      </c>
      <c r="G30" s="23" t="s">
        <v>135</v>
      </c>
      <c r="H30" s="24" t="s">
        <v>136</v>
      </c>
      <c r="I30" s="24" t="s">
        <v>136</v>
      </c>
      <c r="J30" s="15"/>
      <c r="K30" s="23" t="s">
        <v>61</v>
      </c>
      <c r="L30" s="23" t="s">
        <v>83</v>
      </c>
      <c r="M30" s="24" t="s">
        <v>84</v>
      </c>
      <c r="N30" s="15"/>
      <c r="O30" s="23" t="s">
        <v>129</v>
      </c>
      <c r="P30" s="23" t="s">
        <v>130</v>
      </c>
      <c r="Q30" s="24" t="s">
        <v>194</v>
      </c>
      <c r="R30" s="15"/>
      <c r="S30" s="34" t="str">
        <f>"570,0"</f>
        <v>570,0</v>
      </c>
      <c r="T30" s="15" t="str">
        <f>"363,0900"</f>
        <v>363,0900</v>
      </c>
      <c r="U30" s="12" t="s">
        <v>64</v>
      </c>
    </row>
    <row r="31" spans="1:21" x14ac:dyDescent="0.2">
      <c r="A31" s="30" t="s">
        <v>92</v>
      </c>
      <c r="B31" s="19" t="s">
        <v>356</v>
      </c>
      <c r="C31" s="13" t="s">
        <v>357</v>
      </c>
      <c r="D31" s="13" t="s">
        <v>358</v>
      </c>
      <c r="E31" s="13" t="str">
        <f>"0,6174"</f>
        <v>0,6174</v>
      </c>
      <c r="F31" s="13" t="s">
        <v>47</v>
      </c>
      <c r="G31" s="21" t="s">
        <v>185</v>
      </c>
      <c r="H31" s="21" t="s">
        <v>359</v>
      </c>
      <c r="I31" s="25" t="s">
        <v>360</v>
      </c>
      <c r="J31" s="16"/>
      <c r="K31" s="25"/>
      <c r="L31" s="16"/>
      <c r="M31" s="16"/>
      <c r="N31" s="16"/>
      <c r="O31" s="25"/>
      <c r="P31" s="16"/>
      <c r="Q31" s="16"/>
      <c r="R31" s="16"/>
      <c r="S31" s="35">
        <v>0</v>
      </c>
      <c r="T31" s="16" t="str">
        <f>"0,0000"</f>
        <v>0,0000</v>
      </c>
      <c r="U31" s="13" t="s">
        <v>361</v>
      </c>
    </row>
    <row r="32" spans="1:21" x14ac:dyDescent="0.2">
      <c r="B32" s="5" t="s">
        <v>51</v>
      </c>
    </row>
    <row r="33" spans="1:21" ht="15" x14ac:dyDescent="0.2">
      <c r="A33" s="49" t="s">
        <v>256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</row>
    <row r="34" spans="1:21" x14ac:dyDescent="0.2">
      <c r="A34" s="28" t="s">
        <v>15</v>
      </c>
      <c r="B34" s="17" t="s">
        <v>362</v>
      </c>
      <c r="C34" s="11" t="s">
        <v>363</v>
      </c>
      <c r="D34" s="11" t="s">
        <v>364</v>
      </c>
      <c r="E34" s="11" t="str">
        <f>"0,5898"</f>
        <v>0,5898</v>
      </c>
      <c r="F34" s="11" t="s">
        <v>47</v>
      </c>
      <c r="G34" s="20" t="s">
        <v>130</v>
      </c>
      <c r="H34" s="22" t="s">
        <v>229</v>
      </c>
      <c r="I34" s="20" t="s">
        <v>229</v>
      </c>
      <c r="J34" s="14"/>
      <c r="K34" s="20" t="s">
        <v>125</v>
      </c>
      <c r="L34" s="20" t="s">
        <v>342</v>
      </c>
      <c r="M34" s="20" t="s">
        <v>165</v>
      </c>
      <c r="N34" s="14"/>
      <c r="O34" s="20" t="s">
        <v>276</v>
      </c>
      <c r="P34" s="20" t="s">
        <v>270</v>
      </c>
      <c r="Q34" s="22" t="s">
        <v>266</v>
      </c>
      <c r="R34" s="14"/>
      <c r="S34" s="33" t="str">
        <f>"710,0"</f>
        <v>710,0</v>
      </c>
      <c r="T34" s="14" t="str">
        <f>"418,7580"</f>
        <v>418,7580</v>
      </c>
      <c r="U34" s="11" t="s">
        <v>64</v>
      </c>
    </row>
    <row r="35" spans="1:21" x14ac:dyDescent="0.2">
      <c r="A35" s="29" t="s">
        <v>41</v>
      </c>
      <c r="B35" s="18" t="s">
        <v>365</v>
      </c>
      <c r="C35" s="12" t="s">
        <v>366</v>
      </c>
      <c r="D35" s="12" t="s">
        <v>367</v>
      </c>
      <c r="E35" s="12" t="str">
        <f>"0,6046"</f>
        <v>0,6046</v>
      </c>
      <c r="F35" s="12" t="s">
        <v>368</v>
      </c>
      <c r="G35" s="23" t="s">
        <v>129</v>
      </c>
      <c r="H35" s="24" t="s">
        <v>130</v>
      </c>
      <c r="I35" s="24" t="s">
        <v>186</v>
      </c>
      <c r="J35" s="15"/>
      <c r="K35" s="23" t="s">
        <v>83</v>
      </c>
      <c r="L35" s="23" t="s">
        <v>84</v>
      </c>
      <c r="M35" s="24" t="s">
        <v>155</v>
      </c>
      <c r="N35" s="15"/>
      <c r="O35" s="24" t="s">
        <v>129</v>
      </c>
      <c r="P35" s="23" t="s">
        <v>129</v>
      </c>
      <c r="Q35" s="23" t="s">
        <v>186</v>
      </c>
      <c r="R35" s="15"/>
      <c r="S35" s="34" t="str">
        <f>"630,0"</f>
        <v>630,0</v>
      </c>
      <c r="T35" s="15" t="str">
        <f>"380,8980"</f>
        <v>380,8980</v>
      </c>
      <c r="U35" s="12" t="s">
        <v>64</v>
      </c>
    </row>
    <row r="36" spans="1:21" x14ac:dyDescent="0.2">
      <c r="A36" s="29" t="s">
        <v>43</v>
      </c>
      <c r="B36" s="18" t="s">
        <v>369</v>
      </c>
      <c r="C36" s="12" t="s">
        <v>370</v>
      </c>
      <c r="D36" s="12" t="s">
        <v>371</v>
      </c>
      <c r="E36" s="12" t="str">
        <f>"0,5885"</f>
        <v>0,5885</v>
      </c>
      <c r="F36" s="12" t="s">
        <v>47</v>
      </c>
      <c r="G36" s="23" t="s">
        <v>223</v>
      </c>
      <c r="H36" s="23" t="s">
        <v>135</v>
      </c>
      <c r="I36" s="23" t="s">
        <v>193</v>
      </c>
      <c r="J36" s="15"/>
      <c r="K36" s="23" t="s">
        <v>25</v>
      </c>
      <c r="L36" s="23" t="s">
        <v>82</v>
      </c>
      <c r="M36" s="23" t="s">
        <v>37</v>
      </c>
      <c r="N36" s="15"/>
      <c r="O36" s="23" t="s">
        <v>135</v>
      </c>
      <c r="P36" s="24" t="s">
        <v>193</v>
      </c>
      <c r="Q36" s="23" t="s">
        <v>193</v>
      </c>
      <c r="R36" s="15"/>
      <c r="S36" s="34" t="str">
        <f>"525,0"</f>
        <v>525,0</v>
      </c>
      <c r="T36" s="15" t="str">
        <f>"308,9625"</f>
        <v>308,9625</v>
      </c>
      <c r="U36" s="12" t="s">
        <v>372</v>
      </c>
    </row>
    <row r="37" spans="1:21" x14ac:dyDescent="0.2">
      <c r="A37" s="29" t="s">
        <v>15</v>
      </c>
      <c r="B37" s="18" t="s">
        <v>373</v>
      </c>
      <c r="C37" s="12" t="s">
        <v>374</v>
      </c>
      <c r="D37" s="12" t="s">
        <v>375</v>
      </c>
      <c r="E37" s="12" t="str">
        <f>"0,5937"</f>
        <v>0,5937</v>
      </c>
      <c r="F37" s="12" t="s">
        <v>376</v>
      </c>
      <c r="G37" s="23" t="s">
        <v>350</v>
      </c>
      <c r="H37" s="23" t="s">
        <v>266</v>
      </c>
      <c r="I37" s="23" t="s">
        <v>377</v>
      </c>
      <c r="J37" s="15"/>
      <c r="K37" s="23" t="s">
        <v>147</v>
      </c>
      <c r="L37" s="23" t="s">
        <v>148</v>
      </c>
      <c r="M37" s="23" t="s">
        <v>135</v>
      </c>
      <c r="N37" s="15"/>
      <c r="O37" s="23" t="s">
        <v>276</v>
      </c>
      <c r="P37" s="23" t="s">
        <v>270</v>
      </c>
      <c r="Q37" s="23" t="s">
        <v>265</v>
      </c>
      <c r="R37" s="15"/>
      <c r="S37" s="34" t="str">
        <f>"790,0"</f>
        <v>790,0</v>
      </c>
      <c r="T37" s="15" t="str">
        <f>"469,0230"</f>
        <v>469,0230</v>
      </c>
      <c r="U37" s="12" t="s">
        <v>378</v>
      </c>
    </row>
    <row r="38" spans="1:21" x14ac:dyDescent="0.2">
      <c r="A38" s="29" t="s">
        <v>41</v>
      </c>
      <c r="B38" s="18" t="s">
        <v>379</v>
      </c>
      <c r="C38" s="12" t="s">
        <v>380</v>
      </c>
      <c r="D38" s="12" t="s">
        <v>381</v>
      </c>
      <c r="E38" s="12" t="str">
        <f>"0,5907"</f>
        <v>0,5907</v>
      </c>
      <c r="F38" s="12" t="s">
        <v>47</v>
      </c>
      <c r="G38" s="23" t="s">
        <v>270</v>
      </c>
      <c r="H38" s="24" t="s">
        <v>382</v>
      </c>
      <c r="I38" s="24" t="s">
        <v>382</v>
      </c>
      <c r="J38" s="15"/>
      <c r="K38" s="23" t="s">
        <v>136</v>
      </c>
      <c r="L38" s="23" t="s">
        <v>193</v>
      </c>
      <c r="M38" s="23" t="s">
        <v>241</v>
      </c>
      <c r="N38" s="15"/>
      <c r="O38" s="23" t="s">
        <v>269</v>
      </c>
      <c r="P38" s="23" t="s">
        <v>350</v>
      </c>
      <c r="Q38" s="24" t="s">
        <v>382</v>
      </c>
      <c r="R38" s="15"/>
      <c r="S38" s="34" t="str">
        <f>"772,5"</f>
        <v>772,5</v>
      </c>
      <c r="T38" s="15" t="str">
        <f>"456,3157"</f>
        <v>456,3157</v>
      </c>
      <c r="U38" s="12" t="s">
        <v>383</v>
      </c>
    </row>
    <row r="39" spans="1:21" x14ac:dyDescent="0.2">
      <c r="A39" s="30" t="s">
        <v>43</v>
      </c>
      <c r="B39" s="19" t="s">
        <v>384</v>
      </c>
      <c r="C39" s="13" t="s">
        <v>385</v>
      </c>
      <c r="D39" s="13" t="s">
        <v>386</v>
      </c>
      <c r="E39" s="13" t="str">
        <f>"0,5887"</f>
        <v>0,5887</v>
      </c>
      <c r="F39" s="13" t="s">
        <v>47</v>
      </c>
      <c r="G39" s="21" t="s">
        <v>129</v>
      </c>
      <c r="H39" s="21" t="s">
        <v>130</v>
      </c>
      <c r="I39" s="25" t="s">
        <v>186</v>
      </c>
      <c r="J39" s="16"/>
      <c r="K39" s="21" t="s">
        <v>147</v>
      </c>
      <c r="L39" s="21" t="s">
        <v>387</v>
      </c>
      <c r="M39" s="21" t="s">
        <v>135</v>
      </c>
      <c r="N39" s="16"/>
      <c r="O39" s="21" t="s">
        <v>187</v>
      </c>
      <c r="P39" s="21" t="s">
        <v>388</v>
      </c>
      <c r="Q39" s="25" t="s">
        <v>270</v>
      </c>
      <c r="R39" s="16"/>
      <c r="S39" s="35" t="str">
        <f>"702,5"</f>
        <v>702,5</v>
      </c>
      <c r="T39" s="16" t="str">
        <f>"413,5617"</f>
        <v>413,5617</v>
      </c>
      <c r="U39" s="13" t="s">
        <v>389</v>
      </c>
    </row>
    <row r="40" spans="1:21" x14ac:dyDescent="0.2">
      <c r="B40" s="5" t="s">
        <v>51</v>
      </c>
    </row>
    <row r="41" spans="1:21" ht="15" x14ac:dyDescent="0.2">
      <c r="A41" s="49" t="s">
        <v>261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</row>
    <row r="42" spans="1:21" x14ac:dyDescent="0.2">
      <c r="A42" s="28" t="s">
        <v>15</v>
      </c>
      <c r="B42" s="17" t="s">
        <v>390</v>
      </c>
      <c r="C42" s="11" t="s">
        <v>391</v>
      </c>
      <c r="D42" s="11" t="s">
        <v>392</v>
      </c>
      <c r="E42" s="11" t="str">
        <f>"0,5803"</f>
        <v>0,5803</v>
      </c>
      <c r="F42" s="11" t="s">
        <v>101</v>
      </c>
      <c r="G42" s="20" t="s">
        <v>147</v>
      </c>
      <c r="H42" s="22" t="s">
        <v>136</v>
      </c>
      <c r="I42" s="20" t="s">
        <v>136</v>
      </c>
      <c r="J42" s="14"/>
      <c r="K42" s="20" t="s">
        <v>84</v>
      </c>
      <c r="L42" s="22" t="s">
        <v>155</v>
      </c>
      <c r="M42" s="22" t="s">
        <v>155</v>
      </c>
      <c r="N42" s="14"/>
      <c r="O42" s="20" t="s">
        <v>136</v>
      </c>
      <c r="P42" s="20" t="s">
        <v>128</v>
      </c>
      <c r="Q42" s="22" t="s">
        <v>129</v>
      </c>
      <c r="R42" s="14"/>
      <c r="S42" s="33" t="str">
        <f>"570,0"</f>
        <v>570,0</v>
      </c>
      <c r="T42" s="14" t="str">
        <f>"330,7710"</f>
        <v>330,7710</v>
      </c>
      <c r="U42" s="11" t="s">
        <v>393</v>
      </c>
    </row>
    <row r="43" spans="1:21" x14ac:dyDescent="0.2">
      <c r="A43" s="30" t="s">
        <v>15</v>
      </c>
      <c r="B43" s="19" t="s">
        <v>394</v>
      </c>
      <c r="C43" s="13" t="s">
        <v>395</v>
      </c>
      <c r="D43" s="13" t="s">
        <v>396</v>
      </c>
      <c r="E43" s="13" t="str">
        <f>"0,5852"</f>
        <v>0,5852</v>
      </c>
      <c r="F43" s="13" t="s">
        <v>397</v>
      </c>
      <c r="G43" s="25" t="s">
        <v>265</v>
      </c>
      <c r="H43" s="21" t="s">
        <v>265</v>
      </c>
      <c r="I43" s="16"/>
      <c r="J43" s="16"/>
      <c r="K43" s="21" t="s">
        <v>147</v>
      </c>
      <c r="L43" s="25" t="s">
        <v>135</v>
      </c>
      <c r="M43" s="16"/>
      <c r="N43" s="16"/>
      <c r="O43" s="21" t="s">
        <v>265</v>
      </c>
      <c r="P43" s="25" t="s">
        <v>377</v>
      </c>
      <c r="Q43" s="25" t="s">
        <v>377</v>
      </c>
      <c r="R43" s="16"/>
      <c r="S43" s="35" t="str">
        <f>"760,0"</f>
        <v>760,0</v>
      </c>
      <c r="T43" s="16" t="str">
        <f>"444,7520"</f>
        <v>444,7520</v>
      </c>
      <c r="U43" s="13" t="s">
        <v>398</v>
      </c>
    </row>
    <row r="44" spans="1:21" x14ac:dyDescent="0.2">
      <c r="B44" s="5" t="s">
        <v>51</v>
      </c>
    </row>
    <row r="45" spans="1:21" ht="15" x14ac:dyDescent="0.2">
      <c r="A45" s="49" t="s">
        <v>278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</row>
    <row r="46" spans="1:21" x14ac:dyDescent="0.2">
      <c r="A46" s="31" t="s">
        <v>15</v>
      </c>
      <c r="B46" s="10" t="s">
        <v>399</v>
      </c>
      <c r="C46" s="4" t="s">
        <v>400</v>
      </c>
      <c r="D46" s="4" t="s">
        <v>401</v>
      </c>
      <c r="E46" s="4" t="str">
        <f>"0,5698"</f>
        <v>0,5698</v>
      </c>
      <c r="F46" s="4" t="s">
        <v>402</v>
      </c>
      <c r="G46" s="8" t="s">
        <v>403</v>
      </c>
      <c r="H46" s="8" t="s">
        <v>404</v>
      </c>
      <c r="I46" s="9" t="s">
        <v>405</v>
      </c>
      <c r="J46" s="7"/>
      <c r="K46" s="8" t="s">
        <v>184</v>
      </c>
      <c r="L46" s="9" t="s">
        <v>128</v>
      </c>
      <c r="M46" s="8" t="s">
        <v>128</v>
      </c>
      <c r="N46" s="7"/>
      <c r="O46" s="8" t="s">
        <v>266</v>
      </c>
      <c r="P46" s="8" t="s">
        <v>298</v>
      </c>
      <c r="Q46" s="7"/>
      <c r="R46" s="7"/>
      <c r="S46" s="36" t="str">
        <f>"885,0"</f>
        <v>885,0</v>
      </c>
      <c r="T46" s="7" t="str">
        <f>"504,2730"</f>
        <v>504,2730</v>
      </c>
      <c r="U46" s="4" t="s">
        <v>64</v>
      </c>
    </row>
    <row r="47" spans="1:21" x14ac:dyDescent="0.2">
      <c r="B47" s="5" t="s">
        <v>51</v>
      </c>
    </row>
    <row r="50" spans="2:6" ht="18" x14ac:dyDescent="0.25">
      <c r="B50" s="26" t="s">
        <v>284</v>
      </c>
      <c r="C50" s="26"/>
    </row>
    <row r="51" spans="2:6" ht="15" x14ac:dyDescent="0.2">
      <c r="B51" s="45" t="s">
        <v>285</v>
      </c>
      <c r="C51" s="45"/>
    </row>
    <row r="52" spans="2:6" ht="14.25" x14ac:dyDescent="0.2">
      <c r="B52" s="27"/>
      <c r="C52" s="27" t="s">
        <v>286</v>
      </c>
    </row>
    <row r="53" spans="2:6" ht="15" x14ac:dyDescent="0.2">
      <c r="B53" s="47" t="s">
        <v>287</v>
      </c>
      <c r="C53" s="47" t="s">
        <v>288</v>
      </c>
      <c r="D53" s="47" t="s">
        <v>289</v>
      </c>
      <c r="E53" s="47" t="s">
        <v>290</v>
      </c>
      <c r="F53" s="47" t="s">
        <v>291</v>
      </c>
    </row>
    <row r="54" spans="2:6" x14ac:dyDescent="0.2">
      <c r="B54" s="3" t="s">
        <v>316</v>
      </c>
      <c r="C54" s="5" t="s">
        <v>286</v>
      </c>
      <c r="D54" s="6" t="s">
        <v>295</v>
      </c>
      <c r="E54" s="6" t="s">
        <v>406</v>
      </c>
      <c r="F54" s="6" t="s">
        <v>407</v>
      </c>
    </row>
    <row r="55" spans="2:6" x14ac:dyDescent="0.2">
      <c r="B55" s="3" t="s">
        <v>334</v>
      </c>
      <c r="C55" s="5" t="s">
        <v>286</v>
      </c>
      <c r="D55" s="6" t="s">
        <v>304</v>
      </c>
      <c r="E55" s="6" t="s">
        <v>408</v>
      </c>
      <c r="F55" s="6" t="s">
        <v>409</v>
      </c>
    </row>
    <row r="56" spans="2:6" x14ac:dyDescent="0.2">
      <c r="B56" s="3" t="s">
        <v>321</v>
      </c>
      <c r="C56" s="5" t="s">
        <v>286</v>
      </c>
      <c r="D56" s="6" t="s">
        <v>410</v>
      </c>
      <c r="E56" s="6" t="s">
        <v>411</v>
      </c>
      <c r="F56" s="6" t="s">
        <v>412</v>
      </c>
    </row>
    <row r="57" spans="2:6" x14ac:dyDescent="0.2">
      <c r="B57" s="3"/>
    </row>
    <row r="58" spans="2:6" ht="15" x14ac:dyDescent="0.2">
      <c r="B58" s="45" t="s">
        <v>300</v>
      </c>
      <c r="C58" s="45"/>
    </row>
    <row r="59" spans="2:6" ht="14.25" x14ac:dyDescent="0.2">
      <c r="B59" s="27"/>
      <c r="C59" s="27" t="s">
        <v>286</v>
      </c>
    </row>
    <row r="60" spans="2:6" ht="15" x14ac:dyDescent="0.2">
      <c r="B60" s="47" t="s">
        <v>287</v>
      </c>
      <c r="C60" s="47" t="s">
        <v>288</v>
      </c>
      <c r="D60" s="47" t="s">
        <v>289</v>
      </c>
      <c r="E60" s="47" t="s">
        <v>290</v>
      </c>
      <c r="F60" s="47" t="s">
        <v>291</v>
      </c>
    </row>
    <row r="61" spans="2:6" x14ac:dyDescent="0.2">
      <c r="B61" s="3" t="s">
        <v>399</v>
      </c>
      <c r="C61" s="5" t="s">
        <v>286</v>
      </c>
      <c r="D61" s="6" t="s">
        <v>413</v>
      </c>
      <c r="E61" s="6" t="s">
        <v>414</v>
      </c>
      <c r="F61" s="6" t="s">
        <v>415</v>
      </c>
    </row>
    <row r="62" spans="2:6" x14ac:dyDescent="0.2">
      <c r="B62" s="3" t="s">
        <v>373</v>
      </c>
      <c r="C62" s="5" t="s">
        <v>286</v>
      </c>
      <c r="D62" s="6" t="s">
        <v>416</v>
      </c>
      <c r="E62" s="6" t="s">
        <v>417</v>
      </c>
      <c r="F62" s="6" t="s">
        <v>418</v>
      </c>
    </row>
    <row r="63" spans="2:6" x14ac:dyDescent="0.2">
      <c r="B63" s="3" t="s">
        <v>379</v>
      </c>
      <c r="C63" s="5" t="s">
        <v>286</v>
      </c>
      <c r="D63" s="6" t="s">
        <v>416</v>
      </c>
      <c r="E63" s="6" t="s">
        <v>419</v>
      </c>
      <c r="F63" s="6" t="s">
        <v>420</v>
      </c>
    </row>
    <row r="64" spans="2:6" x14ac:dyDescent="0.2">
      <c r="B64" s="5" t="s">
        <v>51</v>
      </c>
    </row>
  </sheetData>
  <mergeCells count="23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3:R33"/>
    <mergeCell ref="A41:R41"/>
    <mergeCell ref="A45:R45"/>
    <mergeCell ref="B3:B4"/>
    <mergeCell ref="A8:R8"/>
    <mergeCell ref="A11:R11"/>
    <mergeCell ref="A16:R16"/>
    <mergeCell ref="A21:R21"/>
    <mergeCell ref="A24:R24"/>
    <mergeCell ref="A28:R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28"/>
  <sheetViews>
    <sheetView workbookViewId="0">
      <selection sqref="A1:U2"/>
    </sheetView>
  </sheetViews>
  <sheetFormatPr baseColWidth="10" defaultColWidth="9.140625" defaultRowHeight="12.75" x14ac:dyDescent="0.2"/>
  <cols>
    <col min="1" max="1" width="7.42578125" style="6" bestFit="1" customWidth="1"/>
    <col min="2" max="2" width="20.140625" style="5" bestFit="1" customWidth="1"/>
    <col min="3" max="3" width="27.85546875" style="3" customWidth="1"/>
    <col min="4" max="4" width="21.42578125" style="3" bestFit="1" customWidth="1"/>
    <col min="5" max="5" width="10.42578125" style="3" bestFit="1" customWidth="1"/>
    <col min="6" max="6" width="15.42578125" style="3" bestFit="1" customWidth="1"/>
    <col min="7" max="9" width="5.42578125" style="2" customWidth="1"/>
    <col min="10" max="10" width="4.85546875" style="2" customWidth="1"/>
    <col min="11" max="13" width="5.42578125" style="2" customWidth="1"/>
    <col min="14" max="14" width="4.85546875" style="2" customWidth="1"/>
    <col min="15" max="17" width="5.42578125" style="2" customWidth="1"/>
    <col min="18" max="18" width="4.85546875" style="2" customWidth="1"/>
    <col min="19" max="19" width="7.85546875" style="32" bestFit="1" customWidth="1"/>
    <col min="20" max="20" width="8.42578125" style="2" bestFit="1" customWidth="1"/>
    <col min="21" max="21" width="15.42578125" style="3" bestFit="1" customWidth="1"/>
    <col min="22" max="16384" width="9.140625" style="3"/>
  </cols>
  <sheetData>
    <row r="1" spans="1:21" s="2" customFormat="1" ht="29.1" customHeight="1" x14ac:dyDescent="0.2">
      <c r="A1" s="58" t="s">
        <v>421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5</v>
      </c>
      <c r="F3" s="52" t="s">
        <v>6</v>
      </c>
      <c r="G3" s="52" t="s">
        <v>7</v>
      </c>
      <c r="H3" s="52"/>
      <c r="I3" s="52"/>
      <c r="J3" s="52"/>
      <c r="K3" s="52" t="s">
        <v>8</v>
      </c>
      <c r="L3" s="52"/>
      <c r="M3" s="52"/>
      <c r="N3" s="52"/>
      <c r="O3" s="52" t="s">
        <v>9</v>
      </c>
      <c r="P3" s="52"/>
      <c r="Q3" s="52"/>
      <c r="R3" s="52"/>
      <c r="S3" s="50" t="s">
        <v>10</v>
      </c>
      <c r="T3" s="52" t="s">
        <v>11</v>
      </c>
      <c r="U3" s="54" t="s">
        <v>12</v>
      </c>
    </row>
    <row r="4" spans="1:21" s="1" customFormat="1" ht="21" customHeight="1" thickBot="1" x14ac:dyDescent="0.25">
      <c r="A4" s="66"/>
      <c r="B4" s="57"/>
      <c r="C4" s="53"/>
      <c r="D4" s="53"/>
      <c r="E4" s="53"/>
      <c r="F4" s="53"/>
      <c r="G4" s="46">
        <v>1</v>
      </c>
      <c r="H4" s="46">
        <v>2</v>
      </c>
      <c r="I4" s="46">
        <v>3</v>
      </c>
      <c r="J4" s="46" t="s">
        <v>13</v>
      </c>
      <c r="K4" s="46">
        <v>1</v>
      </c>
      <c r="L4" s="46">
        <v>2</v>
      </c>
      <c r="M4" s="46">
        <v>3</v>
      </c>
      <c r="N4" s="46" t="s">
        <v>13</v>
      </c>
      <c r="O4" s="46">
        <v>1</v>
      </c>
      <c r="P4" s="46">
        <v>2</v>
      </c>
      <c r="Q4" s="46">
        <v>3</v>
      </c>
      <c r="R4" s="46" t="s">
        <v>13</v>
      </c>
      <c r="S4" s="51"/>
      <c r="T4" s="53"/>
      <c r="U4" s="55"/>
    </row>
    <row r="5" spans="1:21" ht="15" x14ac:dyDescent="0.2">
      <c r="A5" s="49" t="s">
        <v>14</v>
      </c>
      <c r="B5" s="4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 x14ac:dyDescent="0.2">
      <c r="A6" s="31" t="s">
        <v>15</v>
      </c>
      <c r="B6" s="10" t="s">
        <v>422</v>
      </c>
      <c r="C6" s="4" t="s">
        <v>423</v>
      </c>
      <c r="D6" s="4" t="s">
        <v>424</v>
      </c>
      <c r="E6" s="4" t="str">
        <f>"1,2522"</f>
        <v>1,2522</v>
      </c>
      <c r="F6" s="4" t="s">
        <v>425</v>
      </c>
      <c r="G6" s="9" t="s">
        <v>48</v>
      </c>
      <c r="H6" s="8" t="s">
        <v>48</v>
      </c>
      <c r="I6" s="8" t="s">
        <v>20</v>
      </c>
      <c r="J6" s="7"/>
      <c r="K6" s="8" t="s">
        <v>35</v>
      </c>
      <c r="L6" s="8" t="s">
        <v>36</v>
      </c>
      <c r="M6" s="9" t="s">
        <v>23</v>
      </c>
      <c r="N6" s="7"/>
      <c r="O6" s="8" t="s">
        <v>68</v>
      </c>
      <c r="P6" s="8" t="s">
        <v>20</v>
      </c>
      <c r="Q6" s="8" t="s">
        <v>21</v>
      </c>
      <c r="R6" s="7"/>
      <c r="S6" s="36" t="str">
        <f>"215,0"</f>
        <v>215,0</v>
      </c>
      <c r="T6" s="7" t="str">
        <f>"269,2230"</f>
        <v>269,2230</v>
      </c>
      <c r="U6" s="4" t="s">
        <v>426</v>
      </c>
    </row>
    <row r="7" spans="1:21" x14ac:dyDescent="0.2">
      <c r="B7" s="5" t="s">
        <v>51</v>
      </c>
    </row>
    <row r="8" spans="1:21" ht="15" x14ac:dyDescent="0.2">
      <c r="A8" s="49" t="s">
        <v>52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 x14ac:dyDescent="0.2">
      <c r="A9" s="31" t="s">
        <v>15</v>
      </c>
      <c r="B9" s="10" t="s">
        <v>427</v>
      </c>
      <c r="C9" s="4" t="s">
        <v>428</v>
      </c>
      <c r="D9" s="4" t="s">
        <v>429</v>
      </c>
      <c r="E9" s="4" t="str">
        <f>"1,1933"</f>
        <v>1,1933</v>
      </c>
      <c r="F9" s="4" t="s">
        <v>430</v>
      </c>
      <c r="G9" s="8" t="s">
        <v>22</v>
      </c>
      <c r="H9" s="8" t="s">
        <v>163</v>
      </c>
      <c r="I9" s="8" t="s">
        <v>82</v>
      </c>
      <c r="J9" s="7"/>
      <c r="K9" s="8" t="s">
        <v>75</v>
      </c>
      <c r="L9" s="9" t="s">
        <v>90</v>
      </c>
      <c r="M9" s="9" t="s">
        <v>90</v>
      </c>
      <c r="N9" s="7"/>
      <c r="O9" s="9" t="s">
        <v>26</v>
      </c>
      <c r="P9" s="8" t="s">
        <v>57</v>
      </c>
      <c r="Q9" s="9" t="s">
        <v>37</v>
      </c>
      <c r="R9" s="7"/>
      <c r="S9" s="36" t="str">
        <f>"270,0"</f>
        <v>270,0</v>
      </c>
      <c r="T9" s="7" t="str">
        <f>"322,1910"</f>
        <v>322,1910</v>
      </c>
      <c r="U9" s="4" t="s">
        <v>431</v>
      </c>
    </row>
    <row r="10" spans="1:21" x14ac:dyDescent="0.2">
      <c r="B10" s="5" t="s">
        <v>51</v>
      </c>
    </row>
    <row r="11" spans="1:21" ht="15" x14ac:dyDescent="0.2">
      <c r="A11" s="49" t="s">
        <v>102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21" x14ac:dyDescent="0.2">
      <c r="A12" s="31" t="s">
        <v>15</v>
      </c>
      <c r="B12" s="10" t="s">
        <v>432</v>
      </c>
      <c r="C12" s="4" t="s">
        <v>433</v>
      </c>
      <c r="D12" s="4" t="s">
        <v>111</v>
      </c>
      <c r="E12" s="4" t="str">
        <f>"0,7337"</f>
        <v>0,7337</v>
      </c>
      <c r="F12" s="4" t="s">
        <v>434</v>
      </c>
      <c r="G12" s="8" t="s">
        <v>148</v>
      </c>
      <c r="H12" s="8" t="s">
        <v>192</v>
      </c>
      <c r="I12" s="9" t="s">
        <v>184</v>
      </c>
      <c r="J12" s="7"/>
      <c r="K12" s="8" t="s">
        <v>26</v>
      </c>
      <c r="L12" s="8" t="s">
        <v>337</v>
      </c>
      <c r="M12" s="8" t="s">
        <v>435</v>
      </c>
      <c r="N12" s="7"/>
      <c r="O12" s="8" t="s">
        <v>184</v>
      </c>
      <c r="P12" s="8" t="s">
        <v>185</v>
      </c>
      <c r="Q12" s="9" t="s">
        <v>130</v>
      </c>
      <c r="R12" s="7"/>
      <c r="S12" s="36" t="str">
        <f>"532,5"</f>
        <v>532,5</v>
      </c>
      <c r="T12" s="7" t="str">
        <f>"390,6952"</f>
        <v>390,6952</v>
      </c>
      <c r="U12" s="4" t="s">
        <v>64</v>
      </c>
    </row>
    <row r="13" spans="1:21" x14ac:dyDescent="0.2">
      <c r="B13" s="5" t="s">
        <v>51</v>
      </c>
    </row>
    <row r="14" spans="1:21" ht="15" x14ac:dyDescent="0.2">
      <c r="A14" s="49" t="s">
        <v>209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1" x14ac:dyDescent="0.2">
      <c r="A15" s="28" t="s">
        <v>15</v>
      </c>
      <c r="B15" s="17" t="s">
        <v>436</v>
      </c>
      <c r="C15" s="11" t="s">
        <v>437</v>
      </c>
      <c r="D15" s="11" t="s">
        <v>438</v>
      </c>
      <c r="E15" s="11" t="str">
        <f>"0,6455"</f>
        <v>0,6455</v>
      </c>
      <c r="F15" s="11" t="s">
        <v>439</v>
      </c>
      <c r="G15" s="22" t="s">
        <v>135</v>
      </c>
      <c r="H15" s="20" t="s">
        <v>135</v>
      </c>
      <c r="I15" s="22" t="s">
        <v>136</v>
      </c>
      <c r="J15" s="14"/>
      <c r="K15" s="20" t="s">
        <v>26</v>
      </c>
      <c r="L15" s="20" t="s">
        <v>82</v>
      </c>
      <c r="M15" s="20" t="s">
        <v>337</v>
      </c>
      <c r="N15" s="14"/>
      <c r="O15" s="20" t="s">
        <v>155</v>
      </c>
      <c r="P15" s="20" t="s">
        <v>147</v>
      </c>
      <c r="Q15" s="22" t="s">
        <v>136</v>
      </c>
      <c r="R15" s="14"/>
      <c r="S15" s="33" t="str">
        <f>"477,5"</f>
        <v>477,5</v>
      </c>
      <c r="T15" s="14" t="str">
        <f>"308,2263"</f>
        <v>308,2263</v>
      </c>
      <c r="U15" s="11" t="s">
        <v>440</v>
      </c>
    </row>
    <row r="16" spans="1:21" x14ac:dyDescent="0.2">
      <c r="A16" s="29" t="s">
        <v>92</v>
      </c>
      <c r="B16" s="18" t="s">
        <v>441</v>
      </c>
      <c r="C16" s="12" t="s">
        <v>442</v>
      </c>
      <c r="D16" s="12" t="s">
        <v>443</v>
      </c>
      <c r="E16" s="12" t="str">
        <f>"0,6479"</f>
        <v>0,6479</v>
      </c>
      <c r="F16" s="12" t="s">
        <v>444</v>
      </c>
      <c r="G16" s="24" t="s">
        <v>147</v>
      </c>
      <c r="H16" s="24" t="s">
        <v>147</v>
      </c>
      <c r="I16" s="24" t="s">
        <v>147</v>
      </c>
      <c r="J16" s="15"/>
      <c r="K16" s="24"/>
      <c r="L16" s="24"/>
      <c r="M16" s="15"/>
      <c r="N16" s="15"/>
      <c r="O16" s="24"/>
      <c r="P16" s="15"/>
      <c r="Q16" s="15"/>
      <c r="R16" s="15"/>
      <c r="S16" s="34">
        <v>0</v>
      </c>
      <c r="T16" s="15" t="str">
        <f>"0,0000"</f>
        <v>0,0000</v>
      </c>
      <c r="U16" s="12" t="s">
        <v>445</v>
      </c>
    </row>
    <row r="17" spans="1:21" x14ac:dyDescent="0.2">
      <c r="A17" s="30" t="s">
        <v>92</v>
      </c>
      <c r="B17" s="19" t="s">
        <v>441</v>
      </c>
      <c r="C17" s="13" t="s">
        <v>446</v>
      </c>
      <c r="D17" s="13" t="s">
        <v>443</v>
      </c>
      <c r="E17" s="13" t="str">
        <f>"0,6479"</f>
        <v>0,6479</v>
      </c>
      <c r="F17" s="13" t="s">
        <v>444</v>
      </c>
      <c r="G17" s="25" t="s">
        <v>147</v>
      </c>
      <c r="H17" s="25" t="s">
        <v>147</v>
      </c>
      <c r="I17" s="25" t="s">
        <v>147</v>
      </c>
      <c r="J17" s="16"/>
      <c r="K17" s="25"/>
      <c r="L17" s="25"/>
      <c r="M17" s="16"/>
      <c r="N17" s="16"/>
      <c r="O17" s="25"/>
      <c r="P17" s="16"/>
      <c r="Q17" s="16"/>
      <c r="R17" s="16"/>
      <c r="S17" s="35">
        <v>0</v>
      </c>
      <c r="T17" s="16" t="str">
        <f>"0,0000"</f>
        <v>0,0000</v>
      </c>
      <c r="U17" s="13" t="s">
        <v>445</v>
      </c>
    </row>
    <row r="18" spans="1:21" x14ac:dyDescent="0.2">
      <c r="B18" s="5" t="s">
        <v>51</v>
      </c>
    </row>
    <row r="19" spans="1:21" ht="15" x14ac:dyDescent="0.2">
      <c r="A19" s="49" t="s">
        <v>231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</row>
    <row r="20" spans="1:21" x14ac:dyDescent="0.2">
      <c r="A20" s="28" t="s">
        <v>15</v>
      </c>
      <c r="B20" s="17" t="s">
        <v>447</v>
      </c>
      <c r="C20" s="11" t="s">
        <v>448</v>
      </c>
      <c r="D20" s="11" t="s">
        <v>449</v>
      </c>
      <c r="E20" s="11" t="str">
        <f>"0,6200"</f>
        <v>0,6200</v>
      </c>
      <c r="F20" s="11" t="s">
        <v>450</v>
      </c>
      <c r="G20" s="20" t="s">
        <v>204</v>
      </c>
      <c r="H20" s="20" t="s">
        <v>186</v>
      </c>
      <c r="I20" s="22" t="s">
        <v>187</v>
      </c>
      <c r="J20" s="14"/>
      <c r="K20" s="20" t="s">
        <v>62</v>
      </c>
      <c r="L20" s="20" t="s">
        <v>63</v>
      </c>
      <c r="M20" s="20" t="s">
        <v>268</v>
      </c>
      <c r="N20" s="14"/>
      <c r="O20" s="22" t="s">
        <v>127</v>
      </c>
      <c r="P20" s="20" t="s">
        <v>127</v>
      </c>
      <c r="Q20" s="20" t="s">
        <v>129</v>
      </c>
      <c r="R20" s="14"/>
      <c r="S20" s="33" t="str">
        <f>"637,5"</f>
        <v>637,5</v>
      </c>
      <c r="T20" s="14" t="str">
        <f>"395,2500"</f>
        <v>395,2500</v>
      </c>
      <c r="U20" s="11" t="s">
        <v>76</v>
      </c>
    </row>
    <row r="21" spans="1:21" x14ac:dyDescent="0.2">
      <c r="A21" s="30" t="s">
        <v>41</v>
      </c>
      <c r="B21" s="19" t="s">
        <v>451</v>
      </c>
      <c r="C21" s="13" t="s">
        <v>452</v>
      </c>
      <c r="D21" s="13" t="s">
        <v>453</v>
      </c>
      <c r="E21" s="13" t="str">
        <f>"0,6086"</f>
        <v>0,6086</v>
      </c>
      <c r="F21" s="13" t="s">
        <v>454</v>
      </c>
      <c r="G21" s="21" t="s">
        <v>193</v>
      </c>
      <c r="H21" s="25" t="s">
        <v>128</v>
      </c>
      <c r="I21" s="25" t="s">
        <v>149</v>
      </c>
      <c r="J21" s="16"/>
      <c r="K21" s="21" t="s">
        <v>84</v>
      </c>
      <c r="L21" s="25" t="s">
        <v>268</v>
      </c>
      <c r="M21" s="25" t="s">
        <v>268</v>
      </c>
      <c r="N21" s="16"/>
      <c r="O21" s="21" t="s">
        <v>192</v>
      </c>
      <c r="P21" s="25" t="s">
        <v>193</v>
      </c>
      <c r="Q21" s="21" t="s">
        <v>184</v>
      </c>
      <c r="R21" s="16"/>
      <c r="S21" s="35" t="str">
        <f>"565,0"</f>
        <v>565,0</v>
      </c>
      <c r="T21" s="16" t="str">
        <f>"343,8590"</f>
        <v>343,8590</v>
      </c>
      <c r="U21" s="13" t="s">
        <v>455</v>
      </c>
    </row>
    <row r="22" spans="1:21" x14ac:dyDescent="0.2">
      <c r="B22" s="5" t="s">
        <v>51</v>
      </c>
    </row>
    <row r="23" spans="1:21" ht="15" x14ac:dyDescent="0.2">
      <c r="A23" s="49" t="s">
        <v>256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21" x14ac:dyDescent="0.2">
      <c r="A24" s="31" t="s">
        <v>15</v>
      </c>
      <c r="B24" s="10" t="s">
        <v>456</v>
      </c>
      <c r="C24" s="4" t="s">
        <v>457</v>
      </c>
      <c r="D24" s="4" t="s">
        <v>375</v>
      </c>
      <c r="E24" s="4" t="str">
        <f>"0,5937"</f>
        <v>0,5937</v>
      </c>
      <c r="F24" s="4" t="s">
        <v>235</v>
      </c>
      <c r="G24" s="8" t="s">
        <v>192</v>
      </c>
      <c r="H24" s="8" t="s">
        <v>193</v>
      </c>
      <c r="I24" s="8" t="s">
        <v>127</v>
      </c>
      <c r="J24" s="7"/>
      <c r="K24" s="8" t="s">
        <v>37</v>
      </c>
      <c r="L24" s="8" t="s">
        <v>126</v>
      </c>
      <c r="M24" s="8" t="s">
        <v>91</v>
      </c>
      <c r="N24" s="7"/>
      <c r="O24" s="8" t="s">
        <v>150</v>
      </c>
      <c r="P24" s="9" t="s">
        <v>194</v>
      </c>
      <c r="Q24" s="9" t="s">
        <v>186</v>
      </c>
      <c r="R24" s="7"/>
      <c r="S24" s="36" t="str">
        <f>"575,0"</f>
        <v>575,0</v>
      </c>
      <c r="T24" s="7" t="str">
        <f>"341,3775"</f>
        <v>341,3775</v>
      </c>
      <c r="U24" s="4" t="s">
        <v>236</v>
      </c>
    </row>
    <row r="25" spans="1:21" x14ac:dyDescent="0.2">
      <c r="B25" s="5" t="s">
        <v>51</v>
      </c>
    </row>
    <row r="26" spans="1:21" ht="15" x14ac:dyDescent="0.2">
      <c r="A26" s="49" t="s">
        <v>261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21" x14ac:dyDescent="0.2">
      <c r="A27" s="31" t="s">
        <v>15</v>
      </c>
      <c r="B27" s="10" t="s">
        <v>458</v>
      </c>
      <c r="C27" s="4" t="s">
        <v>459</v>
      </c>
      <c r="D27" s="4" t="s">
        <v>460</v>
      </c>
      <c r="E27" s="4" t="str">
        <f>"0,5823"</f>
        <v>0,5823</v>
      </c>
      <c r="F27" s="4" t="s">
        <v>235</v>
      </c>
      <c r="G27" s="8" t="s">
        <v>193</v>
      </c>
      <c r="H27" s="8" t="s">
        <v>197</v>
      </c>
      <c r="I27" s="8" t="s">
        <v>185</v>
      </c>
      <c r="J27" s="7"/>
      <c r="K27" s="8" t="s">
        <v>107</v>
      </c>
      <c r="L27" s="9" t="s">
        <v>84</v>
      </c>
      <c r="M27" s="8" t="s">
        <v>63</v>
      </c>
      <c r="N27" s="7"/>
      <c r="O27" s="8" t="s">
        <v>250</v>
      </c>
      <c r="P27" s="8" t="s">
        <v>186</v>
      </c>
      <c r="Q27" s="8" t="s">
        <v>187</v>
      </c>
      <c r="R27" s="7"/>
      <c r="S27" s="36" t="str">
        <f>"637,5"</f>
        <v>637,5</v>
      </c>
      <c r="T27" s="7" t="str">
        <f>"371,2163"</f>
        <v>371,2163</v>
      </c>
      <c r="U27" s="4" t="s">
        <v>236</v>
      </c>
    </row>
    <row r="28" spans="1:21" x14ac:dyDescent="0.2">
      <c r="B28" s="5" t="s">
        <v>51</v>
      </c>
    </row>
  </sheetData>
  <mergeCells count="2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6:R26"/>
    <mergeCell ref="S3:S4"/>
    <mergeCell ref="T3:T4"/>
    <mergeCell ref="U3:U4"/>
    <mergeCell ref="A5:R5"/>
    <mergeCell ref="B3:B4"/>
    <mergeCell ref="A8:R8"/>
    <mergeCell ref="A11:R11"/>
    <mergeCell ref="A14:R14"/>
    <mergeCell ref="A19:R19"/>
    <mergeCell ref="A23:R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48"/>
  <sheetViews>
    <sheetView topLeftCell="A33" workbookViewId="0">
      <selection sqref="A1:U2"/>
    </sheetView>
  </sheetViews>
  <sheetFormatPr baseColWidth="10" defaultColWidth="9.140625" defaultRowHeight="12.75" x14ac:dyDescent="0.2"/>
  <cols>
    <col min="1" max="1" width="7.42578125" style="6" bestFit="1" customWidth="1"/>
    <col min="2" max="2" width="20.85546875" style="5" bestFit="1" customWidth="1"/>
    <col min="3" max="3" width="27.42578125" style="3" bestFit="1" customWidth="1"/>
    <col min="4" max="4" width="21.42578125" style="3" bestFit="1" customWidth="1"/>
    <col min="5" max="5" width="10.42578125" style="3" bestFit="1" customWidth="1"/>
    <col min="6" max="6" width="20.42578125" style="3" bestFit="1" customWidth="1"/>
    <col min="7" max="9" width="5.42578125" style="2" customWidth="1"/>
    <col min="10" max="10" width="4.85546875" style="2" customWidth="1"/>
    <col min="11" max="13" width="5.42578125" style="2" customWidth="1"/>
    <col min="14" max="14" width="4.85546875" style="2" customWidth="1"/>
    <col min="15" max="18" width="5.42578125" style="2" customWidth="1"/>
    <col min="19" max="19" width="7.85546875" style="32" bestFit="1" customWidth="1"/>
    <col min="20" max="20" width="8.42578125" style="2" bestFit="1" customWidth="1"/>
    <col min="21" max="21" width="17.28515625" style="3" bestFit="1" customWidth="1"/>
    <col min="22" max="16384" width="9.140625" style="3"/>
  </cols>
  <sheetData>
    <row r="1" spans="1:21" s="2" customFormat="1" ht="29.1" customHeight="1" x14ac:dyDescent="0.2">
      <c r="A1" s="58" t="s">
        <v>461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1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5</v>
      </c>
      <c r="F3" s="52" t="s">
        <v>6</v>
      </c>
      <c r="G3" s="52" t="s">
        <v>7</v>
      </c>
      <c r="H3" s="52"/>
      <c r="I3" s="52"/>
      <c r="J3" s="52"/>
      <c r="K3" s="52" t="s">
        <v>8</v>
      </c>
      <c r="L3" s="52"/>
      <c r="M3" s="52"/>
      <c r="N3" s="52"/>
      <c r="O3" s="52" t="s">
        <v>9</v>
      </c>
      <c r="P3" s="52"/>
      <c r="Q3" s="52"/>
      <c r="R3" s="52"/>
      <c r="S3" s="50" t="s">
        <v>10</v>
      </c>
      <c r="T3" s="52" t="s">
        <v>11</v>
      </c>
      <c r="U3" s="54" t="s">
        <v>12</v>
      </c>
    </row>
    <row r="4" spans="1:21" s="1" customFormat="1" ht="21" customHeight="1" thickBot="1" x14ac:dyDescent="0.25">
      <c r="A4" s="66"/>
      <c r="B4" s="57"/>
      <c r="C4" s="53"/>
      <c r="D4" s="53"/>
      <c r="E4" s="53"/>
      <c r="F4" s="53"/>
      <c r="G4" s="46">
        <v>1</v>
      </c>
      <c r="H4" s="46">
        <v>2</v>
      </c>
      <c r="I4" s="46">
        <v>3</v>
      </c>
      <c r="J4" s="46" t="s">
        <v>13</v>
      </c>
      <c r="K4" s="46">
        <v>1</v>
      </c>
      <c r="L4" s="46">
        <v>2</v>
      </c>
      <c r="M4" s="46">
        <v>3</v>
      </c>
      <c r="N4" s="46" t="s">
        <v>13</v>
      </c>
      <c r="O4" s="46">
        <v>1</v>
      </c>
      <c r="P4" s="46">
        <v>2</v>
      </c>
      <c r="Q4" s="46">
        <v>3</v>
      </c>
      <c r="R4" s="46" t="s">
        <v>13</v>
      </c>
      <c r="S4" s="51"/>
      <c r="T4" s="53"/>
      <c r="U4" s="55"/>
    </row>
    <row r="5" spans="1:21" ht="15" x14ac:dyDescent="0.2">
      <c r="A5" s="49" t="s">
        <v>102</v>
      </c>
      <c r="B5" s="4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 x14ac:dyDescent="0.2">
      <c r="A6" s="28" t="s">
        <v>15</v>
      </c>
      <c r="B6" s="17" t="s">
        <v>462</v>
      </c>
      <c r="C6" s="11" t="s">
        <v>463</v>
      </c>
      <c r="D6" s="11" t="s">
        <v>464</v>
      </c>
      <c r="E6" s="11" t="str">
        <f>"0,7207"</f>
        <v>0,7207</v>
      </c>
      <c r="F6" s="11" t="s">
        <v>465</v>
      </c>
      <c r="G6" s="20" t="s">
        <v>265</v>
      </c>
      <c r="H6" s="22" t="s">
        <v>266</v>
      </c>
      <c r="I6" s="20" t="s">
        <v>266</v>
      </c>
      <c r="J6" s="14"/>
      <c r="K6" s="20" t="s">
        <v>147</v>
      </c>
      <c r="L6" s="22" t="s">
        <v>135</v>
      </c>
      <c r="M6" s="22" t="s">
        <v>135</v>
      </c>
      <c r="N6" s="14"/>
      <c r="O6" s="20" t="s">
        <v>130</v>
      </c>
      <c r="P6" s="20" t="s">
        <v>186</v>
      </c>
      <c r="Q6" s="22" t="s">
        <v>276</v>
      </c>
      <c r="R6" s="14"/>
      <c r="S6" s="33" t="str">
        <f>"730,0"</f>
        <v>730,0</v>
      </c>
      <c r="T6" s="14" t="str">
        <f>"526,1110"</f>
        <v>526,1110</v>
      </c>
      <c r="U6" s="11" t="s">
        <v>466</v>
      </c>
    </row>
    <row r="7" spans="1:21" x14ac:dyDescent="0.2">
      <c r="A7" s="30" t="s">
        <v>41</v>
      </c>
      <c r="B7" s="19" t="s">
        <v>467</v>
      </c>
      <c r="C7" s="13" t="s">
        <v>468</v>
      </c>
      <c r="D7" s="13" t="s">
        <v>469</v>
      </c>
      <c r="E7" s="13" t="str">
        <f>"0,7179"</f>
        <v>0,7179</v>
      </c>
      <c r="F7" s="13" t="s">
        <v>470</v>
      </c>
      <c r="G7" s="21" t="s">
        <v>135</v>
      </c>
      <c r="H7" s="25" t="s">
        <v>193</v>
      </c>
      <c r="I7" s="25" t="s">
        <v>193</v>
      </c>
      <c r="J7" s="16"/>
      <c r="K7" s="21" t="s">
        <v>89</v>
      </c>
      <c r="L7" s="21" t="s">
        <v>83</v>
      </c>
      <c r="M7" s="25" t="s">
        <v>62</v>
      </c>
      <c r="N7" s="16"/>
      <c r="O7" s="25" t="s">
        <v>136</v>
      </c>
      <c r="P7" s="21" t="s">
        <v>136</v>
      </c>
      <c r="Q7" s="21" t="s">
        <v>128</v>
      </c>
      <c r="R7" s="16"/>
      <c r="S7" s="35" t="str">
        <f>"550,0"</f>
        <v>550,0</v>
      </c>
      <c r="T7" s="16" t="str">
        <f>"394,8450"</f>
        <v>394,8450</v>
      </c>
      <c r="U7" s="13" t="s">
        <v>64</v>
      </c>
    </row>
    <row r="8" spans="1:21" x14ac:dyDescent="0.2">
      <c r="B8" s="5" t="s">
        <v>51</v>
      </c>
    </row>
    <row r="9" spans="1:21" ht="15" x14ac:dyDescent="0.2">
      <c r="A9" s="49" t="s">
        <v>173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21" x14ac:dyDescent="0.2">
      <c r="A10" s="28" t="s">
        <v>15</v>
      </c>
      <c r="B10" s="17" t="s">
        <v>471</v>
      </c>
      <c r="C10" s="11" t="s">
        <v>472</v>
      </c>
      <c r="D10" s="11" t="s">
        <v>473</v>
      </c>
      <c r="E10" s="11" t="str">
        <f>"0,6790"</f>
        <v>0,6790</v>
      </c>
      <c r="F10" s="11" t="s">
        <v>474</v>
      </c>
      <c r="G10" s="22" t="s">
        <v>276</v>
      </c>
      <c r="H10" s="20" t="s">
        <v>269</v>
      </c>
      <c r="I10" s="22" t="s">
        <v>475</v>
      </c>
      <c r="J10" s="14"/>
      <c r="K10" s="20" t="s">
        <v>165</v>
      </c>
      <c r="L10" s="22" t="s">
        <v>476</v>
      </c>
      <c r="M10" s="22" t="s">
        <v>476</v>
      </c>
      <c r="N10" s="14"/>
      <c r="O10" s="20" t="s">
        <v>276</v>
      </c>
      <c r="P10" s="22" t="s">
        <v>265</v>
      </c>
      <c r="Q10" s="22" t="s">
        <v>265</v>
      </c>
      <c r="R10" s="14"/>
      <c r="S10" s="33" t="str">
        <f>"715,0"</f>
        <v>715,0</v>
      </c>
      <c r="T10" s="14" t="str">
        <f>"485,4850"</f>
        <v>485,4850</v>
      </c>
      <c r="U10" s="11" t="s">
        <v>477</v>
      </c>
    </row>
    <row r="11" spans="1:21" x14ac:dyDescent="0.2">
      <c r="A11" s="29" t="s">
        <v>92</v>
      </c>
      <c r="B11" s="18" t="s">
        <v>478</v>
      </c>
      <c r="C11" s="12" t="s">
        <v>479</v>
      </c>
      <c r="D11" s="12" t="s">
        <v>480</v>
      </c>
      <c r="E11" s="12" t="str">
        <f>"0,6744"</f>
        <v>0,6744</v>
      </c>
      <c r="F11" s="12" t="s">
        <v>47</v>
      </c>
      <c r="G11" s="24" t="s">
        <v>187</v>
      </c>
      <c r="H11" s="15"/>
      <c r="I11" s="15"/>
      <c r="J11" s="15"/>
      <c r="K11" s="24"/>
      <c r="L11" s="15"/>
      <c r="M11" s="15"/>
      <c r="N11" s="15"/>
      <c r="O11" s="24"/>
      <c r="P11" s="15"/>
      <c r="Q11" s="15"/>
      <c r="R11" s="15"/>
      <c r="S11" s="34">
        <v>0</v>
      </c>
      <c r="T11" s="15" t="str">
        <f>"0,0000"</f>
        <v>0,0000</v>
      </c>
      <c r="U11" s="12" t="s">
        <v>64</v>
      </c>
    </row>
    <row r="12" spans="1:21" x14ac:dyDescent="0.2">
      <c r="A12" s="30" t="s">
        <v>15</v>
      </c>
      <c r="B12" s="19" t="s">
        <v>481</v>
      </c>
      <c r="C12" s="13" t="s">
        <v>482</v>
      </c>
      <c r="D12" s="13" t="s">
        <v>182</v>
      </c>
      <c r="E12" s="13" t="str">
        <f>"0,6704"</f>
        <v>0,6704</v>
      </c>
      <c r="F12" s="13" t="s">
        <v>483</v>
      </c>
      <c r="G12" s="25" t="s">
        <v>127</v>
      </c>
      <c r="H12" s="21" t="s">
        <v>127</v>
      </c>
      <c r="I12" s="21" t="s">
        <v>185</v>
      </c>
      <c r="J12" s="16"/>
      <c r="K12" s="21" t="s">
        <v>81</v>
      </c>
      <c r="L12" s="21" t="s">
        <v>83</v>
      </c>
      <c r="M12" s="25" t="s">
        <v>62</v>
      </c>
      <c r="N12" s="16"/>
      <c r="O12" s="21" t="s">
        <v>204</v>
      </c>
      <c r="P12" s="21" t="s">
        <v>186</v>
      </c>
      <c r="Q12" s="21" t="s">
        <v>187</v>
      </c>
      <c r="R12" s="25" t="s">
        <v>484</v>
      </c>
      <c r="S12" s="35" t="str">
        <f>"625,0"</f>
        <v>625,0</v>
      </c>
      <c r="T12" s="16" t="str">
        <f>"514,5320"</f>
        <v>514,5320</v>
      </c>
      <c r="U12" s="13" t="s">
        <v>64</v>
      </c>
    </row>
    <row r="13" spans="1:21" x14ac:dyDescent="0.2">
      <c r="B13" s="5" t="s">
        <v>51</v>
      </c>
    </row>
    <row r="14" spans="1:21" ht="15" x14ac:dyDescent="0.2">
      <c r="A14" s="49" t="s">
        <v>209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21" x14ac:dyDescent="0.2">
      <c r="A15" s="28" t="s">
        <v>15</v>
      </c>
      <c r="B15" s="17" t="s">
        <v>485</v>
      </c>
      <c r="C15" s="11" t="s">
        <v>486</v>
      </c>
      <c r="D15" s="11" t="s">
        <v>487</v>
      </c>
      <c r="E15" s="11" t="str">
        <f>"0,6440"</f>
        <v>0,6440</v>
      </c>
      <c r="F15" s="11" t="s">
        <v>488</v>
      </c>
      <c r="G15" s="20" t="s">
        <v>136</v>
      </c>
      <c r="H15" s="20" t="s">
        <v>128</v>
      </c>
      <c r="I15" s="20" t="s">
        <v>204</v>
      </c>
      <c r="J15" s="14"/>
      <c r="K15" s="20" t="s">
        <v>81</v>
      </c>
      <c r="L15" s="20" t="s">
        <v>83</v>
      </c>
      <c r="M15" s="20" t="s">
        <v>84</v>
      </c>
      <c r="N15" s="14"/>
      <c r="O15" s="20" t="s">
        <v>129</v>
      </c>
      <c r="P15" s="20" t="s">
        <v>194</v>
      </c>
      <c r="Q15" s="22" t="s">
        <v>229</v>
      </c>
      <c r="R15" s="14"/>
      <c r="S15" s="33" t="str">
        <f>"630,0"</f>
        <v>630,0</v>
      </c>
      <c r="T15" s="14" t="str">
        <f>"405,7200"</f>
        <v>405,7200</v>
      </c>
      <c r="U15" s="11" t="s">
        <v>489</v>
      </c>
    </row>
    <row r="16" spans="1:21" x14ac:dyDescent="0.2">
      <c r="A16" s="29" t="s">
        <v>41</v>
      </c>
      <c r="B16" s="18" t="s">
        <v>490</v>
      </c>
      <c r="C16" s="12" t="s">
        <v>491</v>
      </c>
      <c r="D16" s="12" t="s">
        <v>492</v>
      </c>
      <c r="E16" s="12" t="str">
        <f>"0,6447"</f>
        <v>0,6447</v>
      </c>
      <c r="F16" s="12" t="s">
        <v>493</v>
      </c>
      <c r="G16" s="23" t="s">
        <v>136</v>
      </c>
      <c r="H16" s="23" t="s">
        <v>127</v>
      </c>
      <c r="I16" s="23" t="s">
        <v>185</v>
      </c>
      <c r="J16" s="15"/>
      <c r="K16" s="23" t="s">
        <v>38</v>
      </c>
      <c r="L16" s="23" t="s">
        <v>81</v>
      </c>
      <c r="M16" s="24" t="s">
        <v>61</v>
      </c>
      <c r="N16" s="15"/>
      <c r="O16" s="23" t="s">
        <v>184</v>
      </c>
      <c r="P16" s="23" t="s">
        <v>129</v>
      </c>
      <c r="Q16" s="24" t="s">
        <v>130</v>
      </c>
      <c r="R16" s="15"/>
      <c r="S16" s="34" t="str">
        <f>"585,0"</f>
        <v>585,0</v>
      </c>
      <c r="T16" s="15" t="str">
        <f>"377,1495"</f>
        <v>377,1495</v>
      </c>
      <c r="U16" s="12" t="s">
        <v>489</v>
      </c>
    </row>
    <row r="17" spans="1:21" x14ac:dyDescent="0.2">
      <c r="A17" s="29" t="s">
        <v>15</v>
      </c>
      <c r="B17" s="18" t="s">
        <v>494</v>
      </c>
      <c r="C17" s="12" t="s">
        <v>495</v>
      </c>
      <c r="D17" s="12" t="s">
        <v>496</v>
      </c>
      <c r="E17" s="12" t="str">
        <f>"0,6395"</f>
        <v>0,6395</v>
      </c>
      <c r="F17" s="12" t="s">
        <v>497</v>
      </c>
      <c r="G17" s="23" t="s">
        <v>382</v>
      </c>
      <c r="H17" s="23" t="s">
        <v>377</v>
      </c>
      <c r="I17" s="24" t="s">
        <v>403</v>
      </c>
      <c r="J17" s="15"/>
      <c r="K17" s="23" t="s">
        <v>192</v>
      </c>
      <c r="L17" s="23" t="s">
        <v>193</v>
      </c>
      <c r="M17" s="23" t="s">
        <v>184</v>
      </c>
      <c r="N17" s="15"/>
      <c r="O17" s="23" t="s">
        <v>405</v>
      </c>
      <c r="P17" s="24" t="s">
        <v>498</v>
      </c>
      <c r="Q17" s="24" t="s">
        <v>499</v>
      </c>
      <c r="R17" s="15"/>
      <c r="S17" s="34" t="str">
        <f>"870,0"</f>
        <v>870,0</v>
      </c>
      <c r="T17" s="15" t="str">
        <f>"556,3650"</f>
        <v>556,3650</v>
      </c>
      <c r="U17" s="12" t="s">
        <v>224</v>
      </c>
    </row>
    <row r="18" spans="1:21" x14ac:dyDescent="0.2">
      <c r="A18" s="29" t="s">
        <v>41</v>
      </c>
      <c r="B18" s="18" t="s">
        <v>500</v>
      </c>
      <c r="C18" s="12" t="s">
        <v>501</v>
      </c>
      <c r="D18" s="12" t="s">
        <v>502</v>
      </c>
      <c r="E18" s="12" t="str">
        <f>"0,6388"</f>
        <v>0,6388</v>
      </c>
      <c r="F18" s="12" t="s">
        <v>112</v>
      </c>
      <c r="G18" s="23" t="s">
        <v>130</v>
      </c>
      <c r="H18" s="23" t="s">
        <v>186</v>
      </c>
      <c r="I18" s="23" t="s">
        <v>187</v>
      </c>
      <c r="J18" s="15"/>
      <c r="K18" s="23" t="s">
        <v>192</v>
      </c>
      <c r="L18" s="24" t="s">
        <v>136</v>
      </c>
      <c r="M18" s="24" t="s">
        <v>136</v>
      </c>
      <c r="N18" s="15"/>
      <c r="O18" s="23" t="s">
        <v>186</v>
      </c>
      <c r="P18" s="24" t="s">
        <v>282</v>
      </c>
      <c r="Q18" s="23" t="s">
        <v>282</v>
      </c>
      <c r="R18" s="15"/>
      <c r="S18" s="34" t="str">
        <f>"720,0"</f>
        <v>720,0</v>
      </c>
      <c r="T18" s="15" t="str">
        <f>"459,9360"</f>
        <v>459,9360</v>
      </c>
      <c r="U18" s="12" t="s">
        <v>64</v>
      </c>
    </row>
    <row r="19" spans="1:21" x14ac:dyDescent="0.2">
      <c r="A19" s="30" t="s">
        <v>43</v>
      </c>
      <c r="B19" s="19" t="s">
        <v>503</v>
      </c>
      <c r="C19" s="13" t="s">
        <v>504</v>
      </c>
      <c r="D19" s="13" t="s">
        <v>346</v>
      </c>
      <c r="E19" s="13" t="str">
        <f>"0,6384"</f>
        <v>0,6384</v>
      </c>
      <c r="F19" s="13" t="s">
        <v>505</v>
      </c>
      <c r="G19" s="25" t="s">
        <v>128</v>
      </c>
      <c r="H19" s="21" t="s">
        <v>128</v>
      </c>
      <c r="I19" s="21" t="s">
        <v>343</v>
      </c>
      <c r="J19" s="16"/>
      <c r="K19" s="21" t="s">
        <v>165</v>
      </c>
      <c r="L19" s="25" t="s">
        <v>147</v>
      </c>
      <c r="M19" s="21" t="s">
        <v>147</v>
      </c>
      <c r="N19" s="16"/>
      <c r="O19" s="21" t="s">
        <v>129</v>
      </c>
      <c r="P19" s="21" t="s">
        <v>194</v>
      </c>
      <c r="Q19" s="25" t="s">
        <v>187</v>
      </c>
      <c r="R19" s="16"/>
      <c r="S19" s="35" t="str">
        <f>"677,5"</f>
        <v>677,5</v>
      </c>
      <c r="T19" s="16" t="str">
        <f>"432,5160"</f>
        <v>432,5160</v>
      </c>
      <c r="U19" s="13" t="s">
        <v>64</v>
      </c>
    </row>
    <row r="20" spans="1:21" x14ac:dyDescent="0.2">
      <c r="B20" s="5" t="s">
        <v>51</v>
      </c>
    </row>
    <row r="21" spans="1:21" ht="15" x14ac:dyDescent="0.2">
      <c r="A21" s="49" t="s">
        <v>231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21" x14ac:dyDescent="0.2">
      <c r="A22" s="28" t="s">
        <v>15</v>
      </c>
      <c r="B22" s="17" t="s">
        <v>506</v>
      </c>
      <c r="C22" s="11" t="s">
        <v>507</v>
      </c>
      <c r="D22" s="11" t="s">
        <v>508</v>
      </c>
      <c r="E22" s="11" t="str">
        <f>"0,6093"</f>
        <v>0,6093</v>
      </c>
      <c r="F22" s="11" t="s">
        <v>509</v>
      </c>
      <c r="G22" s="20" t="s">
        <v>187</v>
      </c>
      <c r="H22" s="20" t="s">
        <v>270</v>
      </c>
      <c r="I22" s="22" t="s">
        <v>265</v>
      </c>
      <c r="J22" s="14"/>
      <c r="K22" s="20" t="s">
        <v>155</v>
      </c>
      <c r="L22" s="20" t="s">
        <v>165</v>
      </c>
      <c r="M22" s="14"/>
      <c r="N22" s="14"/>
      <c r="O22" s="20" t="s">
        <v>229</v>
      </c>
      <c r="P22" s="22" t="s">
        <v>282</v>
      </c>
      <c r="Q22" s="20" t="s">
        <v>282</v>
      </c>
      <c r="R22" s="14"/>
      <c r="S22" s="33" t="str">
        <f>"720,0"</f>
        <v>720,0</v>
      </c>
      <c r="T22" s="14" t="str">
        <f>"438,6960"</f>
        <v>438,6960</v>
      </c>
      <c r="U22" s="11" t="s">
        <v>510</v>
      </c>
    </row>
    <row r="23" spans="1:21" x14ac:dyDescent="0.2">
      <c r="A23" s="29" t="s">
        <v>92</v>
      </c>
      <c r="B23" s="18" t="s">
        <v>511</v>
      </c>
      <c r="C23" s="12" t="s">
        <v>512</v>
      </c>
      <c r="D23" s="12" t="s">
        <v>513</v>
      </c>
      <c r="E23" s="12" t="str">
        <f>"0,6121"</f>
        <v>0,6121</v>
      </c>
      <c r="F23" s="12" t="s">
        <v>514</v>
      </c>
      <c r="G23" s="24" t="s">
        <v>266</v>
      </c>
      <c r="H23" s="24" t="s">
        <v>266</v>
      </c>
      <c r="I23" s="24" t="s">
        <v>266</v>
      </c>
      <c r="J23" s="15"/>
      <c r="K23" s="24"/>
      <c r="L23" s="15"/>
      <c r="M23" s="15"/>
      <c r="N23" s="15"/>
      <c r="O23" s="24"/>
      <c r="P23" s="24"/>
      <c r="Q23" s="15"/>
      <c r="R23" s="15"/>
      <c r="S23" s="34">
        <v>0</v>
      </c>
      <c r="T23" s="15" t="str">
        <f>"0,0000"</f>
        <v>0,0000</v>
      </c>
      <c r="U23" s="12" t="s">
        <v>515</v>
      </c>
    </row>
    <row r="24" spans="1:21" x14ac:dyDescent="0.2">
      <c r="A24" s="29" t="s">
        <v>92</v>
      </c>
      <c r="B24" s="18" t="s">
        <v>516</v>
      </c>
      <c r="C24" s="12" t="s">
        <v>517</v>
      </c>
      <c r="D24" s="12" t="s">
        <v>518</v>
      </c>
      <c r="E24" s="12" t="str">
        <f>"0,6106"</f>
        <v>0,6106</v>
      </c>
      <c r="F24" s="12" t="s">
        <v>519</v>
      </c>
      <c r="G24" s="24" t="s">
        <v>350</v>
      </c>
      <c r="H24" s="24" t="s">
        <v>350</v>
      </c>
      <c r="I24" s="24" t="s">
        <v>350</v>
      </c>
      <c r="J24" s="15"/>
      <c r="K24" s="24"/>
      <c r="L24" s="15"/>
      <c r="M24" s="15"/>
      <c r="N24" s="15"/>
      <c r="O24" s="15"/>
      <c r="P24" s="15"/>
      <c r="Q24" s="24"/>
      <c r="R24" s="15"/>
      <c r="S24" s="34">
        <v>0</v>
      </c>
      <c r="T24" s="15" t="str">
        <f>"0,0000"</f>
        <v>0,0000</v>
      </c>
      <c r="U24" s="12" t="s">
        <v>520</v>
      </c>
    </row>
    <row r="25" spans="1:21" x14ac:dyDescent="0.2">
      <c r="A25" s="29" t="s">
        <v>15</v>
      </c>
      <c r="B25" s="18" t="s">
        <v>506</v>
      </c>
      <c r="C25" s="12" t="s">
        <v>521</v>
      </c>
      <c r="D25" s="12" t="s">
        <v>508</v>
      </c>
      <c r="E25" s="12" t="str">
        <f>"0,6093"</f>
        <v>0,6093</v>
      </c>
      <c r="F25" s="12" t="s">
        <v>509</v>
      </c>
      <c r="G25" s="23" t="s">
        <v>187</v>
      </c>
      <c r="H25" s="23" t="s">
        <v>270</v>
      </c>
      <c r="I25" s="24" t="s">
        <v>265</v>
      </c>
      <c r="J25" s="15"/>
      <c r="K25" s="23" t="s">
        <v>155</v>
      </c>
      <c r="L25" s="23" t="s">
        <v>165</v>
      </c>
      <c r="M25" s="15"/>
      <c r="N25" s="15"/>
      <c r="O25" s="23" t="s">
        <v>229</v>
      </c>
      <c r="P25" s="24" t="s">
        <v>282</v>
      </c>
      <c r="Q25" s="23" t="s">
        <v>282</v>
      </c>
      <c r="R25" s="15"/>
      <c r="S25" s="34" t="str">
        <f>"720,0"</f>
        <v>720,0</v>
      </c>
      <c r="T25" s="15" t="str">
        <f>"450,9795"</f>
        <v>450,9795</v>
      </c>
      <c r="U25" s="12" t="s">
        <v>510</v>
      </c>
    </row>
    <row r="26" spans="1:21" x14ac:dyDescent="0.2">
      <c r="A26" s="30" t="s">
        <v>15</v>
      </c>
      <c r="B26" s="19" t="s">
        <v>522</v>
      </c>
      <c r="C26" s="13" t="s">
        <v>523</v>
      </c>
      <c r="D26" s="13" t="s">
        <v>524</v>
      </c>
      <c r="E26" s="13" t="str">
        <f>"0,6276"</f>
        <v>0,6276</v>
      </c>
      <c r="F26" s="13" t="s">
        <v>47</v>
      </c>
      <c r="G26" s="25" t="s">
        <v>147</v>
      </c>
      <c r="H26" s="21" t="s">
        <v>147</v>
      </c>
      <c r="I26" s="25" t="s">
        <v>193</v>
      </c>
      <c r="J26" s="16"/>
      <c r="K26" s="21" t="s">
        <v>38</v>
      </c>
      <c r="L26" s="21" t="s">
        <v>61</v>
      </c>
      <c r="M26" s="25" t="s">
        <v>83</v>
      </c>
      <c r="N26" s="16"/>
      <c r="O26" s="21" t="s">
        <v>147</v>
      </c>
      <c r="P26" s="25" t="s">
        <v>136</v>
      </c>
      <c r="Q26" s="16"/>
      <c r="R26" s="16"/>
      <c r="S26" s="35" t="str">
        <f>"495,0"</f>
        <v>495,0</v>
      </c>
      <c r="T26" s="16" t="str">
        <f>"516,9416"</f>
        <v>516,9416</v>
      </c>
      <c r="U26" s="13" t="s">
        <v>64</v>
      </c>
    </row>
    <row r="27" spans="1:21" x14ac:dyDescent="0.2">
      <c r="B27" s="5" t="s">
        <v>51</v>
      </c>
    </row>
    <row r="28" spans="1:21" ht="15" x14ac:dyDescent="0.2">
      <c r="A28" s="49" t="s">
        <v>256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</row>
    <row r="29" spans="1:21" x14ac:dyDescent="0.2">
      <c r="A29" s="31" t="s">
        <v>15</v>
      </c>
      <c r="B29" s="10" t="s">
        <v>525</v>
      </c>
      <c r="C29" s="4" t="s">
        <v>526</v>
      </c>
      <c r="D29" s="4" t="s">
        <v>527</v>
      </c>
      <c r="E29" s="4" t="str">
        <f>"0,5916"</f>
        <v>0,5916</v>
      </c>
      <c r="F29" s="4" t="s">
        <v>47</v>
      </c>
      <c r="G29" s="8" t="s">
        <v>528</v>
      </c>
      <c r="H29" s="8" t="s">
        <v>529</v>
      </c>
      <c r="I29" s="9" t="s">
        <v>530</v>
      </c>
      <c r="J29" s="7"/>
      <c r="K29" s="8" t="s">
        <v>135</v>
      </c>
      <c r="L29" s="8" t="s">
        <v>136</v>
      </c>
      <c r="M29" s="8" t="s">
        <v>193</v>
      </c>
      <c r="N29" s="7"/>
      <c r="O29" s="8" t="s">
        <v>529</v>
      </c>
      <c r="P29" s="9" t="s">
        <v>499</v>
      </c>
      <c r="Q29" s="9" t="s">
        <v>499</v>
      </c>
      <c r="R29" s="7"/>
      <c r="S29" s="36" t="str">
        <f>"915,0"</f>
        <v>915,0</v>
      </c>
      <c r="T29" s="7" t="str">
        <f>"541,3140"</f>
        <v>541,3140</v>
      </c>
      <c r="U29" s="4" t="s">
        <v>531</v>
      </c>
    </row>
    <row r="30" spans="1:21" x14ac:dyDescent="0.2">
      <c r="B30" s="5" t="s">
        <v>51</v>
      </c>
    </row>
    <row r="31" spans="1:21" ht="15" x14ac:dyDescent="0.2">
      <c r="A31" s="49" t="s">
        <v>261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1:21" x14ac:dyDescent="0.2">
      <c r="A32" s="28" t="s">
        <v>15</v>
      </c>
      <c r="B32" s="17" t="s">
        <v>532</v>
      </c>
      <c r="C32" s="11" t="s">
        <v>533</v>
      </c>
      <c r="D32" s="11" t="s">
        <v>534</v>
      </c>
      <c r="E32" s="11" t="str">
        <f>"0,5729"</f>
        <v>0,5729</v>
      </c>
      <c r="F32" s="11" t="s">
        <v>430</v>
      </c>
      <c r="G32" s="20" t="s">
        <v>276</v>
      </c>
      <c r="H32" s="22" t="s">
        <v>265</v>
      </c>
      <c r="I32" s="20" t="s">
        <v>265</v>
      </c>
      <c r="J32" s="14"/>
      <c r="K32" s="20" t="s">
        <v>135</v>
      </c>
      <c r="L32" s="20" t="s">
        <v>136</v>
      </c>
      <c r="M32" s="22" t="s">
        <v>193</v>
      </c>
      <c r="N32" s="14"/>
      <c r="O32" s="20" t="s">
        <v>350</v>
      </c>
      <c r="P32" s="20" t="s">
        <v>266</v>
      </c>
      <c r="Q32" s="14"/>
      <c r="R32" s="14"/>
      <c r="S32" s="33" t="str">
        <f>"790,0"</f>
        <v>790,0</v>
      </c>
      <c r="T32" s="14" t="str">
        <f>"452,5910"</f>
        <v>452,5910</v>
      </c>
      <c r="U32" s="11" t="s">
        <v>64</v>
      </c>
    </row>
    <row r="33" spans="1:21" x14ac:dyDescent="0.2">
      <c r="A33" s="29" t="s">
        <v>92</v>
      </c>
      <c r="B33" s="18" t="s">
        <v>535</v>
      </c>
      <c r="C33" s="12" t="s">
        <v>536</v>
      </c>
      <c r="D33" s="12" t="s">
        <v>537</v>
      </c>
      <c r="E33" s="12" t="str">
        <f>"0,5728"</f>
        <v>0,5728</v>
      </c>
      <c r="F33" s="12" t="s">
        <v>260</v>
      </c>
      <c r="G33" s="24" t="s">
        <v>296</v>
      </c>
      <c r="H33" s="24" t="s">
        <v>296</v>
      </c>
      <c r="I33" s="24" t="s">
        <v>296</v>
      </c>
      <c r="J33" s="15"/>
      <c r="K33" s="24"/>
      <c r="L33" s="15"/>
      <c r="M33" s="15"/>
      <c r="N33" s="15"/>
      <c r="O33" s="24"/>
      <c r="P33" s="15"/>
      <c r="Q33" s="15"/>
      <c r="R33" s="15"/>
      <c r="S33" s="34">
        <v>0</v>
      </c>
      <c r="T33" s="15" t="str">
        <f>"0,0000"</f>
        <v>0,0000</v>
      </c>
      <c r="U33" s="12" t="s">
        <v>64</v>
      </c>
    </row>
    <row r="34" spans="1:21" x14ac:dyDescent="0.2">
      <c r="A34" s="30" t="s">
        <v>92</v>
      </c>
      <c r="B34" s="19" t="s">
        <v>538</v>
      </c>
      <c r="C34" s="13" t="s">
        <v>539</v>
      </c>
      <c r="D34" s="13" t="s">
        <v>540</v>
      </c>
      <c r="E34" s="13" t="str">
        <f>"0,5722"</f>
        <v>0,5722</v>
      </c>
      <c r="F34" s="13" t="s">
        <v>541</v>
      </c>
      <c r="G34" s="21" t="s">
        <v>542</v>
      </c>
      <c r="H34" s="21" t="s">
        <v>543</v>
      </c>
      <c r="I34" s="25" t="s">
        <v>544</v>
      </c>
      <c r="J34" s="16"/>
      <c r="K34" s="25"/>
      <c r="L34" s="16"/>
      <c r="M34" s="16"/>
      <c r="N34" s="16"/>
      <c r="O34" s="25"/>
      <c r="P34" s="16"/>
      <c r="Q34" s="16"/>
      <c r="R34" s="16"/>
      <c r="S34" s="35">
        <v>0</v>
      </c>
      <c r="T34" s="16" t="str">
        <f>"0,0000"</f>
        <v>0,0000</v>
      </c>
      <c r="U34" s="13" t="s">
        <v>224</v>
      </c>
    </row>
    <row r="35" spans="1:21" x14ac:dyDescent="0.2">
      <c r="B35" s="5" t="s">
        <v>51</v>
      </c>
    </row>
    <row r="36" spans="1:21" ht="15" x14ac:dyDescent="0.2">
      <c r="A36" s="49" t="s">
        <v>278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1:21" x14ac:dyDescent="0.2">
      <c r="A37" s="31" t="s">
        <v>15</v>
      </c>
      <c r="B37" s="10" t="s">
        <v>545</v>
      </c>
      <c r="C37" s="4" t="s">
        <v>546</v>
      </c>
      <c r="D37" s="4" t="s">
        <v>547</v>
      </c>
      <c r="E37" s="4" t="str">
        <f>"0,5624"</f>
        <v>0,5624</v>
      </c>
      <c r="F37" s="4" t="s">
        <v>548</v>
      </c>
      <c r="G37" s="8" t="s">
        <v>549</v>
      </c>
      <c r="H37" s="8" t="s">
        <v>411</v>
      </c>
      <c r="I37" s="9" t="s">
        <v>544</v>
      </c>
      <c r="J37" s="7"/>
      <c r="K37" s="8" t="s">
        <v>135</v>
      </c>
      <c r="L37" s="8" t="s">
        <v>550</v>
      </c>
      <c r="M37" s="8" t="s">
        <v>184</v>
      </c>
      <c r="N37" s="7"/>
      <c r="O37" s="8" t="s">
        <v>549</v>
      </c>
      <c r="P37" s="9" t="s">
        <v>411</v>
      </c>
      <c r="Q37" s="9" t="s">
        <v>411</v>
      </c>
      <c r="R37" s="7"/>
      <c r="S37" s="36" t="str">
        <f>"970,0"</f>
        <v>970,0</v>
      </c>
      <c r="T37" s="7" t="str">
        <f>"545,5280"</f>
        <v>545,5280</v>
      </c>
      <c r="U37" s="4" t="s">
        <v>70</v>
      </c>
    </row>
    <row r="38" spans="1:21" x14ac:dyDescent="0.2">
      <c r="B38" s="5" t="s">
        <v>51</v>
      </c>
    </row>
    <row r="41" spans="1:21" ht="18" x14ac:dyDescent="0.25">
      <c r="B41" s="26" t="s">
        <v>284</v>
      </c>
      <c r="C41" s="26"/>
    </row>
    <row r="42" spans="1:21" ht="15" x14ac:dyDescent="0.2">
      <c r="B42" s="45" t="s">
        <v>300</v>
      </c>
      <c r="C42" s="45"/>
    </row>
    <row r="43" spans="1:21" ht="14.25" x14ac:dyDescent="0.2">
      <c r="B43" s="27"/>
      <c r="C43" s="27" t="s">
        <v>286</v>
      </c>
    </row>
    <row r="44" spans="1:21" ht="15" x14ac:dyDescent="0.2">
      <c r="B44" s="47" t="s">
        <v>287</v>
      </c>
      <c r="C44" s="47" t="s">
        <v>288</v>
      </c>
      <c r="D44" s="47" t="s">
        <v>289</v>
      </c>
      <c r="E44" s="47" t="s">
        <v>290</v>
      </c>
      <c r="F44" s="47" t="s">
        <v>291</v>
      </c>
    </row>
    <row r="45" spans="1:21" x14ac:dyDescent="0.2">
      <c r="B45" s="3" t="s">
        <v>494</v>
      </c>
      <c r="C45" s="5" t="s">
        <v>286</v>
      </c>
      <c r="D45" s="6" t="s">
        <v>551</v>
      </c>
      <c r="E45" s="6" t="s">
        <v>552</v>
      </c>
      <c r="F45" s="6" t="s">
        <v>553</v>
      </c>
    </row>
    <row r="46" spans="1:21" x14ac:dyDescent="0.2">
      <c r="B46" s="3" t="s">
        <v>545</v>
      </c>
      <c r="C46" s="5" t="s">
        <v>286</v>
      </c>
      <c r="D46" s="6" t="s">
        <v>413</v>
      </c>
      <c r="E46" s="6" t="s">
        <v>554</v>
      </c>
      <c r="F46" s="6" t="s">
        <v>555</v>
      </c>
    </row>
    <row r="47" spans="1:21" x14ac:dyDescent="0.2">
      <c r="B47" s="3" t="s">
        <v>525</v>
      </c>
      <c r="C47" s="5" t="s">
        <v>286</v>
      </c>
      <c r="D47" s="6" t="s">
        <v>416</v>
      </c>
      <c r="E47" s="6" t="s">
        <v>556</v>
      </c>
      <c r="F47" s="6" t="s">
        <v>557</v>
      </c>
    </row>
    <row r="48" spans="1:21" x14ac:dyDescent="0.2">
      <c r="B48" s="5" t="s">
        <v>51</v>
      </c>
    </row>
  </sheetData>
  <mergeCells count="2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6:R36"/>
    <mergeCell ref="S3:S4"/>
    <mergeCell ref="T3:T4"/>
    <mergeCell ref="U3:U4"/>
    <mergeCell ref="A5:R5"/>
    <mergeCell ref="B3:B4"/>
    <mergeCell ref="A9:R9"/>
    <mergeCell ref="A14:R14"/>
    <mergeCell ref="A21:R21"/>
    <mergeCell ref="A28:R28"/>
    <mergeCell ref="A31:R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6"/>
  <sheetViews>
    <sheetView workbookViewId="0">
      <selection sqref="A1:Q2"/>
    </sheetView>
  </sheetViews>
  <sheetFormatPr baseColWidth="10" defaultColWidth="9.140625" defaultRowHeight="12.75" x14ac:dyDescent="0.2"/>
  <cols>
    <col min="1" max="1" width="7.42578125" style="6" bestFit="1" customWidth="1"/>
    <col min="2" max="2" width="19.42578125" style="5" bestFit="1" customWidth="1"/>
    <col min="3" max="3" width="27.42578125" style="3" bestFit="1" customWidth="1"/>
    <col min="4" max="4" width="21.42578125" style="3" bestFit="1" customWidth="1"/>
    <col min="5" max="5" width="10.42578125" style="3" bestFit="1" customWidth="1"/>
    <col min="6" max="6" width="22.28515625" style="3" bestFit="1" customWidth="1"/>
    <col min="7" max="9" width="5.42578125" style="2" customWidth="1"/>
    <col min="10" max="10" width="4.85546875" style="2" customWidth="1"/>
    <col min="11" max="13" width="5.42578125" style="2" customWidth="1"/>
    <col min="14" max="14" width="4.85546875" style="2" customWidth="1"/>
    <col min="15" max="15" width="7.85546875" style="32" bestFit="1" customWidth="1"/>
    <col min="16" max="16" width="8.42578125" style="2" bestFit="1" customWidth="1"/>
    <col min="17" max="17" width="19" style="3" customWidth="1"/>
    <col min="18" max="16384" width="9.140625" style="3"/>
  </cols>
  <sheetData>
    <row r="1" spans="1:17" s="2" customFormat="1" ht="29.1" customHeight="1" x14ac:dyDescent="0.2">
      <c r="A1" s="58" t="s">
        <v>558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5</v>
      </c>
      <c r="F3" s="52" t="s">
        <v>6</v>
      </c>
      <c r="G3" s="52" t="s">
        <v>8</v>
      </c>
      <c r="H3" s="52"/>
      <c r="I3" s="52"/>
      <c r="J3" s="52"/>
      <c r="K3" s="52" t="s">
        <v>9</v>
      </c>
      <c r="L3" s="52"/>
      <c r="M3" s="52"/>
      <c r="N3" s="52"/>
      <c r="O3" s="50" t="s">
        <v>10</v>
      </c>
      <c r="P3" s="52" t="s">
        <v>11</v>
      </c>
      <c r="Q3" s="54" t="s">
        <v>12</v>
      </c>
    </row>
    <row r="4" spans="1:17" s="1" customFormat="1" ht="21" customHeight="1" thickBot="1" x14ac:dyDescent="0.25">
      <c r="A4" s="66"/>
      <c r="B4" s="57"/>
      <c r="C4" s="53"/>
      <c r="D4" s="53"/>
      <c r="E4" s="53"/>
      <c r="F4" s="53"/>
      <c r="G4" s="46">
        <v>1</v>
      </c>
      <c r="H4" s="46">
        <v>2</v>
      </c>
      <c r="I4" s="46">
        <v>3</v>
      </c>
      <c r="J4" s="46" t="s">
        <v>13</v>
      </c>
      <c r="K4" s="46">
        <v>1</v>
      </c>
      <c r="L4" s="46">
        <v>2</v>
      </c>
      <c r="M4" s="46">
        <v>3</v>
      </c>
      <c r="N4" s="46" t="s">
        <v>13</v>
      </c>
      <c r="O4" s="51"/>
      <c r="P4" s="53"/>
      <c r="Q4" s="55"/>
    </row>
    <row r="5" spans="1:17" ht="15" x14ac:dyDescent="0.2">
      <c r="A5" s="49" t="s">
        <v>102</v>
      </c>
      <c r="B5" s="4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 x14ac:dyDescent="0.2">
      <c r="A6" s="31" t="s">
        <v>15</v>
      </c>
      <c r="B6" s="10" t="s">
        <v>559</v>
      </c>
      <c r="C6" s="4" t="s">
        <v>560</v>
      </c>
      <c r="D6" s="4" t="s">
        <v>144</v>
      </c>
      <c r="E6" s="4" t="str">
        <f>"0,9638"</f>
        <v>0,9638</v>
      </c>
      <c r="F6" s="4" t="s">
        <v>561</v>
      </c>
      <c r="G6" s="8" t="s">
        <v>34</v>
      </c>
      <c r="H6" s="8" t="s">
        <v>36</v>
      </c>
      <c r="I6" s="9" t="s">
        <v>24</v>
      </c>
      <c r="J6" s="7"/>
      <c r="K6" s="8" t="s">
        <v>48</v>
      </c>
      <c r="L6" s="8" t="s">
        <v>32</v>
      </c>
      <c r="M6" s="8" t="s">
        <v>25</v>
      </c>
      <c r="N6" s="7"/>
      <c r="O6" s="36" t="str">
        <f>"140,0"</f>
        <v>140,0</v>
      </c>
      <c r="P6" s="7" t="str">
        <f>"165,6965"</f>
        <v>165,6965</v>
      </c>
      <c r="Q6" s="4" t="s">
        <v>64</v>
      </c>
    </row>
    <row r="7" spans="1:17" x14ac:dyDescent="0.2">
      <c r="B7" s="5" t="s">
        <v>51</v>
      </c>
    </row>
    <row r="8" spans="1:17" ht="15" x14ac:dyDescent="0.2">
      <c r="A8" s="49" t="s">
        <v>320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7" x14ac:dyDescent="0.2">
      <c r="A9" s="31" t="s">
        <v>15</v>
      </c>
      <c r="B9" s="10" t="s">
        <v>562</v>
      </c>
      <c r="C9" s="4" t="s">
        <v>563</v>
      </c>
      <c r="D9" s="4" t="s">
        <v>564</v>
      </c>
      <c r="E9" s="4" t="str">
        <f>"0,8648"</f>
        <v>0,8648</v>
      </c>
      <c r="F9" s="4" t="s">
        <v>465</v>
      </c>
      <c r="G9" s="8" t="s">
        <v>32</v>
      </c>
      <c r="H9" s="8" t="s">
        <v>22</v>
      </c>
      <c r="I9" s="9" t="s">
        <v>25</v>
      </c>
      <c r="J9" s="7"/>
      <c r="K9" s="9" t="s">
        <v>155</v>
      </c>
      <c r="L9" s="9" t="s">
        <v>155</v>
      </c>
      <c r="M9" s="8" t="s">
        <v>155</v>
      </c>
      <c r="N9" s="7"/>
      <c r="O9" s="36" t="str">
        <f>"250,0"</f>
        <v>250,0</v>
      </c>
      <c r="P9" s="7" t="str">
        <f>"216,2000"</f>
        <v>216,2000</v>
      </c>
      <c r="Q9" s="4" t="s">
        <v>466</v>
      </c>
    </row>
    <row r="10" spans="1:17" x14ac:dyDescent="0.2">
      <c r="B10" s="5" t="s">
        <v>51</v>
      </c>
    </row>
    <row r="11" spans="1:17" ht="15" x14ac:dyDescent="0.2">
      <c r="A11" s="49" t="s">
        <v>77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7" x14ac:dyDescent="0.2">
      <c r="A12" s="31" t="s">
        <v>15</v>
      </c>
      <c r="B12" s="10" t="s">
        <v>131</v>
      </c>
      <c r="C12" s="4" t="s">
        <v>132</v>
      </c>
      <c r="D12" s="4" t="s">
        <v>133</v>
      </c>
      <c r="E12" s="4" t="str">
        <f>"0,7911"</f>
        <v>0,7911</v>
      </c>
      <c r="F12" s="4" t="s">
        <v>134</v>
      </c>
      <c r="G12" s="8" t="s">
        <v>25</v>
      </c>
      <c r="H12" s="9" t="s">
        <v>26</v>
      </c>
      <c r="I12" s="8" t="s">
        <v>26</v>
      </c>
      <c r="J12" s="7"/>
      <c r="K12" s="9" t="s">
        <v>135</v>
      </c>
      <c r="L12" s="8" t="s">
        <v>135</v>
      </c>
      <c r="M12" s="8" t="s">
        <v>136</v>
      </c>
      <c r="N12" s="7"/>
      <c r="O12" s="36" t="str">
        <f>"300,0"</f>
        <v>300,0</v>
      </c>
      <c r="P12" s="7" t="str">
        <f>"237,3300"</f>
        <v>237,3300</v>
      </c>
      <c r="Q12" s="4" t="s">
        <v>64</v>
      </c>
    </row>
    <row r="13" spans="1:17" x14ac:dyDescent="0.2">
      <c r="B13" s="5" t="s">
        <v>51</v>
      </c>
    </row>
    <row r="14" spans="1:17" ht="15" x14ac:dyDescent="0.2">
      <c r="A14" s="49" t="s">
        <v>102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7" x14ac:dyDescent="0.2">
      <c r="A15" s="28" t="s">
        <v>15</v>
      </c>
      <c r="B15" s="17" t="s">
        <v>565</v>
      </c>
      <c r="C15" s="11" t="s">
        <v>566</v>
      </c>
      <c r="D15" s="11" t="s">
        <v>567</v>
      </c>
      <c r="E15" s="11" t="str">
        <f>"0,7300"</f>
        <v>0,7300</v>
      </c>
      <c r="F15" s="11" t="s">
        <v>425</v>
      </c>
      <c r="G15" s="20" t="s">
        <v>48</v>
      </c>
      <c r="H15" s="20" t="s">
        <v>20</v>
      </c>
      <c r="I15" s="20" t="s">
        <v>32</v>
      </c>
      <c r="J15" s="14"/>
      <c r="K15" s="20" t="s">
        <v>84</v>
      </c>
      <c r="L15" s="20" t="s">
        <v>268</v>
      </c>
      <c r="M15" s="20" t="s">
        <v>342</v>
      </c>
      <c r="N15" s="14"/>
      <c r="O15" s="33" t="str">
        <f>"247,5"</f>
        <v>247,5</v>
      </c>
      <c r="P15" s="14" t="str">
        <f>"180,6750"</f>
        <v>180,6750</v>
      </c>
      <c r="Q15" s="11" t="s">
        <v>426</v>
      </c>
    </row>
    <row r="16" spans="1:17" x14ac:dyDescent="0.2">
      <c r="A16" s="29" t="s">
        <v>15</v>
      </c>
      <c r="B16" s="18" t="s">
        <v>568</v>
      </c>
      <c r="C16" s="12" t="s">
        <v>569</v>
      </c>
      <c r="D16" s="12" t="s">
        <v>570</v>
      </c>
      <c r="E16" s="12" t="str">
        <f>"0,7544"</f>
        <v>0,7544</v>
      </c>
      <c r="F16" s="12" t="s">
        <v>465</v>
      </c>
      <c r="G16" s="23" t="s">
        <v>60</v>
      </c>
      <c r="H16" s="23" t="s">
        <v>48</v>
      </c>
      <c r="I16" s="24" t="s">
        <v>20</v>
      </c>
      <c r="J16" s="15"/>
      <c r="K16" s="24" t="s">
        <v>38</v>
      </c>
      <c r="L16" s="23" t="s">
        <v>81</v>
      </c>
      <c r="M16" s="23" t="s">
        <v>84</v>
      </c>
      <c r="N16" s="15"/>
      <c r="O16" s="34" t="str">
        <f>"225,0"</f>
        <v>225,0</v>
      </c>
      <c r="P16" s="15" t="str">
        <f>"169,7400"</f>
        <v>169,7400</v>
      </c>
      <c r="Q16" s="12" t="s">
        <v>571</v>
      </c>
    </row>
    <row r="17" spans="1:17" x14ac:dyDescent="0.2">
      <c r="A17" s="30" t="s">
        <v>15</v>
      </c>
      <c r="B17" s="19" t="s">
        <v>166</v>
      </c>
      <c r="C17" s="13" t="s">
        <v>167</v>
      </c>
      <c r="D17" s="13" t="s">
        <v>168</v>
      </c>
      <c r="E17" s="13" t="str">
        <f>"0,7578"</f>
        <v>0,7578</v>
      </c>
      <c r="F17" s="13" t="s">
        <v>169</v>
      </c>
      <c r="G17" s="25" t="s">
        <v>49</v>
      </c>
      <c r="H17" s="21" t="s">
        <v>49</v>
      </c>
      <c r="I17" s="25" t="s">
        <v>171</v>
      </c>
      <c r="J17" s="16"/>
      <c r="K17" s="21" t="s">
        <v>125</v>
      </c>
      <c r="L17" s="21" t="s">
        <v>155</v>
      </c>
      <c r="M17" s="21" t="s">
        <v>172</v>
      </c>
      <c r="N17" s="16"/>
      <c r="O17" s="35" t="str">
        <f>"245,0"</f>
        <v>245,0</v>
      </c>
      <c r="P17" s="16" t="str">
        <f>"261,7820"</f>
        <v>261,7820</v>
      </c>
      <c r="Q17" s="13" t="s">
        <v>64</v>
      </c>
    </row>
    <row r="18" spans="1:17" x14ac:dyDescent="0.2">
      <c r="B18" s="5" t="s">
        <v>51</v>
      </c>
    </row>
    <row r="19" spans="1:17" ht="15" x14ac:dyDescent="0.2">
      <c r="A19" s="49" t="s">
        <v>209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7" x14ac:dyDescent="0.2">
      <c r="A20" s="31" t="s">
        <v>92</v>
      </c>
      <c r="B20" s="10" t="s">
        <v>225</v>
      </c>
      <c r="C20" s="4" t="s">
        <v>226</v>
      </c>
      <c r="D20" s="4" t="s">
        <v>227</v>
      </c>
      <c r="E20" s="4" t="str">
        <f>"0,6410"</f>
        <v>0,6410</v>
      </c>
      <c r="F20" s="4" t="s">
        <v>228</v>
      </c>
      <c r="G20" s="9" t="s">
        <v>172</v>
      </c>
      <c r="H20" s="9" t="s">
        <v>172</v>
      </c>
      <c r="I20" s="9" t="s">
        <v>172</v>
      </c>
      <c r="J20" s="7"/>
      <c r="K20" s="7"/>
      <c r="L20" s="9"/>
      <c r="M20" s="9"/>
      <c r="N20" s="7"/>
      <c r="O20" s="36">
        <v>0</v>
      </c>
      <c r="P20" s="7" t="str">
        <f>"0,0000"</f>
        <v>0,0000</v>
      </c>
      <c r="Q20" s="4" t="s">
        <v>230</v>
      </c>
    </row>
    <row r="21" spans="1:17" x14ac:dyDescent="0.2">
      <c r="B21" s="5" t="s">
        <v>51</v>
      </c>
    </row>
    <row r="22" spans="1:17" ht="15" x14ac:dyDescent="0.2">
      <c r="A22" s="49" t="s">
        <v>231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7" x14ac:dyDescent="0.2">
      <c r="A23" s="28" t="s">
        <v>15</v>
      </c>
      <c r="B23" s="17" t="s">
        <v>572</v>
      </c>
      <c r="C23" s="11" t="s">
        <v>573</v>
      </c>
      <c r="D23" s="11" t="s">
        <v>574</v>
      </c>
      <c r="E23" s="11" t="str">
        <f>"0,6152"</f>
        <v>0,6152</v>
      </c>
      <c r="F23" s="11" t="s">
        <v>145</v>
      </c>
      <c r="G23" s="20" t="s">
        <v>38</v>
      </c>
      <c r="H23" s="20" t="s">
        <v>61</v>
      </c>
      <c r="I23" s="20" t="s">
        <v>84</v>
      </c>
      <c r="J23" s="14"/>
      <c r="K23" s="20" t="s">
        <v>136</v>
      </c>
      <c r="L23" s="20" t="s">
        <v>185</v>
      </c>
      <c r="M23" s="22" t="s">
        <v>204</v>
      </c>
      <c r="N23" s="14"/>
      <c r="O23" s="33" t="str">
        <f>"375,0"</f>
        <v>375,0</v>
      </c>
      <c r="P23" s="14" t="str">
        <f>"230,7000"</f>
        <v>230,7000</v>
      </c>
      <c r="Q23" s="11" t="s">
        <v>251</v>
      </c>
    </row>
    <row r="24" spans="1:17" x14ac:dyDescent="0.2">
      <c r="A24" s="29" t="s">
        <v>15</v>
      </c>
      <c r="B24" s="18" t="s">
        <v>232</v>
      </c>
      <c r="C24" s="12" t="s">
        <v>233</v>
      </c>
      <c r="D24" s="12" t="s">
        <v>234</v>
      </c>
      <c r="E24" s="12" t="str">
        <f>"0,6098"</f>
        <v>0,6098</v>
      </c>
      <c r="F24" s="12" t="s">
        <v>235</v>
      </c>
      <c r="G24" s="23" t="s">
        <v>61</v>
      </c>
      <c r="H24" s="23" t="s">
        <v>83</v>
      </c>
      <c r="I24" s="23" t="s">
        <v>178</v>
      </c>
      <c r="J24" s="15"/>
      <c r="K24" s="23" t="s">
        <v>136</v>
      </c>
      <c r="L24" s="23" t="s">
        <v>184</v>
      </c>
      <c r="M24" s="23" t="s">
        <v>127</v>
      </c>
      <c r="N24" s="15"/>
      <c r="O24" s="34" t="str">
        <f>"357,5"</f>
        <v>357,5</v>
      </c>
      <c r="P24" s="15" t="str">
        <f>"218,0035"</f>
        <v>218,0035</v>
      </c>
      <c r="Q24" s="12" t="s">
        <v>236</v>
      </c>
    </row>
    <row r="25" spans="1:17" x14ac:dyDescent="0.2">
      <c r="A25" s="30" t="s">
        <v>15</v>
      </c>
      <c r="B25" s="19" t="s">
        <v>451</v>
      </c>
      <c r="C25" s="13" t="s">
        <v>452</v>
      </c>
      <c r="D25" s="13" t="s">
        <v>453</v>
      </c>
      <c r="E25" s="13" t="str">
        <f>"0,6086"</f>
        <v>0,6086</v>
      </c>
      <c r="F25" s="13" t="s">
        <v>454</v>
      </c>
      <c r="G25" s="21" t="s">
        <v>84</v>
      </c>
      <c r="H25" s="25" t="s">
        <v>268</v>
      </c>
      <c r="I25" s="25" t="s">
        <v>268</v>
      </c>
      <c r="J25" s="16"/>
      <c r="K25" s="21" t="s">
        <v>192</v>
      </c>
      <c r="L25" s="25" t="s">
        <v>193</v>
      </c>
      <c r="M25" s="21" t="s">
        <v>184</v>
      </c>
      <c r="N25" s="16"/>
      <c r="O25" s="35" t="str">
        <f>"360,0"</f>
        <v>360,0</v>
      </c>
      <c r="P25" s="16" t="str">
        <f>"219,0960"</f>
        <v>219,0960</v>
      </c>
      <c r="Q25" s="13" t="s">
        <v>455</v>
      </c>
    </row>
    <row r="26" spans="1:17" x14ac:dyDescent="0.2">
      <c r="B26" s="5" t="s">
        <v>51</v>
      </c>
    </row>
  </sheetData>
  <mergeCells count="18"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  <mergeCell ref="A22:N22"/>
    <mergeCell ref="A5:N5"/>
    <mergeCell ref="A8:N8"/>
    <mergeCell ref="A11:N11"/>
    <mergeCell ref="A14:N14"/>
    <mergeCell ref="A19:N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36"/>
  <sheetViews>
    <sheetView workbookViewId="0">
      <selection sqref="A1:Q2"/>
    </sheetView>
  </sheetViews>
  <sheetFormatPr baseColWidth="10" defaultColWidth="9.140625" defaultRowHeight="12.75" x14ac:dyDescent="0.2"/>
  <cols>
    <col min="1" max="1" width="7.42578125" style="6" bestFit="1" customWidth="1"/>
    <col min="2" max="2" width="21" style="5" bestFit="1" customWidth="1"/>
    <col min="3" max="3" width="27.42578125" style="3" bestFit="1" customWidth="1"/>
    <col min="4" max="4" width="21.42578125" style="3" bestFit="1" customWidth="1"/>
    <col min="5" max="5" width="10.42578125" style="3" bestFit="1" customWidth="1"/>
    <col min="6" max="6" width="22.28515625" style="3" bestFit="1" customWidth="1"/>
    <col min="7" max="9" width="5.42578125" style="2" customWidth="1"/>
    <col min="10" max="10" width="4.85546875" style="2" customWidth="1"/>
    <col min="11" max="14" width="5.42578125" style="2" customWidth="1"/>
    <col min="15" max="15" width="7.85546875" style="2" bestFit="1" customWidth="1"/>
    <col min="16" max="16" width="8.42578125" style="2" bestFit="1" customWidth="1"/>
    <col min="17" max="17" width="31.42578125" style="3" bestFit="1" customWidth="1"/>
    <col min="18" max="16384" width="9.140625" style="3"/>
  </cols>
  <sheetData>
    <row r="1" spans="1:17" s="2" customFormat="1" ht="29.1" customHeight="1" x14ac:dyDescent="0.2">
      <c r="A1" s="58" t="s">
        <v>575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</row>
    <row r="2" spans="1:17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5</v>
      </c>
      <c r="F3" s="52" t="s">
        <v>6</v>
      </c>
      <c r="G3" s="52" t="s">
        <v>8</v>
      </c>
      <c r="H3" s="52"/>
      <c r="I3" s="52"/>
      <c r="J3" s="52"/>
      <c r="K3" s="52" t="s">
        <v>9</v>
      </c>
      <c r="L3" s="52"/>
      <c r="M3" s="52"/>
      <c r="N3" s="52"/>
      <c r="O3" s="52" t="s">
        <v>10</v>
      </c>
      <c r="P3" s="52" t="s">
        <v>11</v>
      </c>
      <c r="Q3" s="54" t="s">
        <v>12</v>
      </c>
    </row>
    <row r="4" spans="1:17" s="1" customFormat="1" ht="21" customHeight="1" thickBot="1" x14ac:dyDescent="0.25">
      <c r="A4" s="66"/>
      <c r="B4" s="57"/>
      <c r="C4" s="53"/>
      <c r="D4" s="53"/>
      <c r="E4" s="53"/>
      <c r="F4" s="53"/>
      <c r="G4" s="46">
        <v>1</v>
      </c>
      <c r="H4" s="46">
        <v>2</v>
      </c>
      <c r="I4" s="46">
        <v>3</v>
      </c>
      <c r="J4" s="46" t="s">
        <v>13</v>
      </c>
      <c r="K4" s="46">
        <v>1</v>
      </c>
      <c r="L4" s="46">
        <v>2</v>
      </c>
      <c r="M4" s="46">
        <v>3</v>
      </c>
      <c r="N4" s="46" t="s">
        <v>13</v>
      </c>
      <c r="O4" s="53"/>
      <c r="P4" s="53"/>
      <c r="Q4" s="55"/>
    </row>
    <row r="5" spans="1:17" ht="15" x14ac:dyDescent="0.2">
      <c r="A5" s="49" t="s">
        <v>102</v>
      </c>
      <c r="B5" s="49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 x14ac:dyDescent="0.2">
      <c r="A6" s="28" t="s">
        <v>15</v>
      </c>
      <c r="B6" s="17" t="s">
        <v>467</v>
      </c>
      <c r="C6" s="11" t="s">
        <v>468</v>
      </c>
      <c r="D6" s="11" t="s">
        <v>469</v>
      </c>
      <c r="E6" s="11" t="str">
        <f>"0,7179"</f>
        <v>0,7179</v>
      </c>
      <c r="F6" s="11" t="s">
        <v>470</v>
      </c>
      <c r="G6" s="20" t="s">
        <v>89</v>
      </c>
      <c r="H6" s="20" t="s">
        <v>83</v>
      </c>
      <c r="I6" s="22" t="s">
        <v>62</v>
      </c>
      <c r="J6" s="14"/>
      <c r="K6" s="22" t="s">
        <v>136</v>
      </c>
      <c r="L6" s="20" t="s">
        <v>136</v>
      </c>
      <c r="M6" s="20" t="s">
        <v>128</v>
      </c>
      <c r="N6" s="14"/>
      <c r="O6" s="14" t="str">
        <f>"360,0"</f>
        <v>360,0</v>
      </c>
      <c r="P6" s="14" t="str">
        <f>"258,4440"</f>
        <v>258,4440</v>
      </c>
      <c r="Q6" s="11" t="s">
        <v>64</v>
      </c>
    </row>
    <row r="7" spans="1:17" x14ac:dyDescent="0.2">
      <c r="A7" s="30" t="s">
        <v>15</v>
      </c>
      <c r="B7" s="19" t="s">
        <v>166</v>
      </c>
      <c r="C7" s="13" t="s">
        <v>167</v>
      </c>
      <c r="D7" s="13" t="s">
        <v>168</v>
      </c>
      <c r="E7" s="13" t="str">
        <f>"0,7578"</f>
        <v>0,7578</v>
      </c>
      <c r="F7" s="13" t="s">
        <v>169</v>
      </c>
      <c r="G7" s="25" t="s">
        <v>49</v>
      </c>
      <c r="H7" s="21" t="s">
        <v>49</v>
      </c>
      <c r="I7" s="25" t="s">
        <v>171</v>
      </c>
      <c r="J7" s="16"/>
      <c r="K7" s="21" t="s">
        <v>125</v>
      </c>
      <c r="L7" s="21" t="s">
        <v>155</v>
      </c>
      <c r="M7" s="21" t="s">
        <v>172</v>
      </c>
      <c r="N7" s="16"/>
      <c r="O7" s="16" t="str">
        <f>"245,0"</f>
        <v>245,0</v>
      </c>
      <c r="P7" s="16" t="str">
        <f>"261,7820"</f>
        <v>261,7820</v>
      </c>
      <c r="Q7" s="13" t="s">
        <v>64</v>
      </c>
    </row>
    <row r="8" spans="1:17" x14ac:dyDescent="0.2">
      <c r="B8" s="5" t="s">
        <v>51</v>
      </c>
    </row>
    <row r="9" spans="1:17" ht="15" x14ac:dyDescent="0.2">
      <c r="A9" s="49" t="s">
        <v>173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7" x14ac:dyDescent="0.2">
      <c r="A10" s="31" t="s">
        <v>15</v>
      </c>
      <c r="B10" s="10" t="s">
        <v>481</v>
      </c>
      <c r="C10" s="4" t="s">
        <v>482</v>
      </c>
      <c r="D10" s="4" t="s">
        <v>182</v>
      </c>
      <c r="E10" s="4" t="str">
        <f>"0,6704"</f>
        <v>0,6704</v>
      </c>
      <c r="F10" s="4" t="s">
        <v>483</v>
      </c>
      <c r="G10" s="8" t="s">
        <v>81</v>
      </c>
      <c r="H10" s="8" t="s">
        <v>83</v>
      </c>
      <c r="I10" s="9" t="s">
        <v>62</v>
      </c>
      <c r="J10" s="7"/>
      <c r="K10" s="8" t="s">
        <v>204</v>
      </c>
      <c r="L10" s="8" t="s">
        <v>186</v>
      </c>
      <c r="M10" s="8" t="s">
        <v>187</v>
      </c>
      <c r="N10" s="9" t="s">
        <v>484</v>
      </c>
      <c r="O10" s="7" t="str">
        <f>"400,0"</f>
        <v>400,0</v>
      </c>
      <c r="P10" s="7" t="str">
        <f>"329,3005"</f>
        <v>329,3005</v>
      </c>
      <c r="Q10" s="4" t="s">
        <v>64</v>
      </c>
    </row>
    <row r="11" spans="1:17" x14ac:dyDescent="0.2">
      <c r="B11" s="5" t="s">
        <v>51</v>
      </c>
    </row>
    <row r="12" spans="1:17" ht="15" x14ac:dyDescent="0.2">
      <c r="A12" s="49" t="s">
        <v>209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7" x14ac:dyDescent="0.2">
      <c r="A13" s="28" t="s">
        <v>15</v>
      </c>
      <c r="B13" s="17" t="s">
        <v>576</v>
      </c>
      <c r="C13" s="11" t="s">
        <v>577</v>
      </c>
      <c r="D13" s="11" t="s">
        <v>346</v>
      </c>
      <c r="E13" s="11" t="str">
        <f>"0,6384"</f>
        <v>0,6384</v>
      </c>
      <c r="F13" s="11" t="s">
        <v>578</v>
      </c>
      <c r="G13" s="20" t="s">
        <v>223</v>
      </c>
      <c r="H13" s="20" t="s">
        <v>147</v>
      </c>
      <c r="I13" s="22" t="s">
        <v>148</v>
      </c>
      <c r="J13" s="14"/>
      <c r="K13" s="20" t="s">
        <v>350</v>
      </c>
      <c r="L13" s="22" t="s">
        <v>382</v>
      </c>
      <c r="M13" s="22" t="s">
        <v>382</v>
      </c>
      <c r="N13" s="14"/>
      <c r="O13" s="14" t="str">
        <f>"460,0"</f>
        <v>460,0</v>
      </c>
      <c r="P13" s="14" t="str">
        <f>"293,6640"</f>
        <v>293,6640</v>
      </c>
      <c r="Q13" s="11" t="s">
        <v>398</v>
      </c>
    </row>
    <row r="14" spans="1:17" x14ac:dyDescent="0.2">
      <c r="A14" s="29" t="s">
        <v>41</v>
      </c>
      <c r="B14" s="18" t="s">
        <v>579</v>
      </c>
      <c r="C14" s="12" t="s">
        <v>580</v>
      </c>
      <c r="D14" s="12" t="s">
        <v>216</v>
      </c>
      <c r="E14" s="12" t="str">
        <f>"0,6515"</f>
        <v>0,6515</v>
      </c>
      <c r="F14" s="12" t="s">
        <v>465</v>
      </c>
      <c r="G14" s="23" t="s">
        <v>155</v>
      </c>
      <c r="H14" s="23" t="s">
        <v>172</v>
      </c>
      <c r="I14" s="24" t="s">
        <v>165</v>
      </c>
      <c r="J14" s="15"/>
      <c r="K14" s="24" t="s">
        <v>127</v>
      </c>
      <c r="L14" s="24" t="s">
        <v>127</v>
      </c>
      <c r="M14" s="23" t="s">
        <v>127</v>
      </c>
      <c r="N14" s="15"/>
      <c r="O14" s="15" t="str">
        <f>"380,0"</f>
        <v>380,0</v>
      </c>
      <c r="P14" s="15" t="str">
        <f>"247,5700"</f>
        <v>247,5700</v>
      </c>
      <c r="Q14" s="12" t="s">
        <v>466</v>
      </c>
    </row>
    <row r="15" spans="1:17" x14ac:dyDescent="0.2">
      <c r="A15" s="30" t="s">
        <v>43</v>
      </c>
      <c r="B15" s="19" t="s">
        <v>581</v>
      </c>
      <c r="C15" s="13" t="s">
        <v>582</v>
      </c>
      <c r="D15" s="13" t="s">
        <v>583</v>
      </c>
      <c r="E15" s="13" t="str">
        <f>"0,6523"</f>
        <v>0,6523</v>
      </c>
      <c r="F15" s="13" t="s">
        <v>584</v>
      </c>
      <c r="G15" s="21" t="s">
        <v>38</v>
      </c>
      <c r="H15" s="21" t="s">
        <v>126</v>
      </c>
      <c r="I15" s="25" t="s">
        <v>91</v>
      </c>
      <c r="J15" s="16"/>
      <c r="K15" s="21" t="s">
        <v>192</v>
      </c>
      <c r="L15" s="21" t="s">
        <v>241</v>
      </c>
      <c r="M15" s="16"/>
      <c r="N15" s="16"/>
      <c r="O15" s="16" t="str">
        <f>"330,0"</f>
        <v>330,0</v>
      </c>
      <c r="P15" s="16" t="str">
        <f>"215,2590"</f>
        <v>215,2590</v>
      </c>
      <c r="Q15" s="13" t="s">
        <v>64</v>
      </c>
    </row>
    <row r="16" spans="1:17" x14ac:dyDescent="0.2">
      <c r="B16" s="5" t="s">
        <v>51</v>
      </c>
    </row>
    <row r="17" spans="1:17" ht="15" x14ac:dyDescent="0.2">
      <c r="A17" s="49" t="s">
        <v>231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7" x14ac:dyDescent="0.2">
      <c r="A18" s="28" t="s">
        <v>15</v>
      </c>
      <c r="B18" s="17" t="s">
        <v>585</v>
      </c>
      <c r="C18" s="11" t="s">
        <v>586</v>
      </c>
      <c r="D18" s="11" t="s">
        <v>587</v>
      </c>
      <c r="E18" s="11" t="str">
        <f>"0,6161"</f>
        <v>0,6161</v>
      </c>
      <c r="F18" s="11" t="s">
        <v>47</v>
      </c>
      <c r="G18" s="20" t="s">
        <v>155</v>
      </c>
      <c r="H18" s="22" t="s">
        <v>165</v>
      </c>
      <c r="I18" s="22" t="s">
        <v>165</v>
      </c>
      <c r="J18" s="14"/>
      <c r="K18" s="20" t="s">
        <v>128</v>
      </c>
      <c r="L18" s="20" t="s">
        <v>129</v>
      </c>
      <c r="M18" s="22" t="s">
        <v>204</v>
      </c>
      <c r="N18" s="14"/>
      <c r="O18" s="14" t="str">
        <f>"390,0"</f>
        <v>390,0</v>
      </c>
      <c r="P18" s="14" t="str">
        <f>"240,2790"</f>
        <v>240,2790</v>
      </c>
      <c r="Q18" s="11" t="s">
        <v>588</v>
      </c>
    </row>
    <row r="19" spans="1:17" x14ac:dyDescent="0.2">
      <c r="A19" s="29" t="s">
        <v>41</v>
      </c>
      <c r="B19" s="18" t="s">
        <v>589</v>
      </c>
      <c r="C19" s="12" t="s">
        <v>590</v>
      </c>
      <c r="D19" s="12" t="s">
        <v>249</v>
      </c>
      <c r="E19" s="12" t="str">
        <f>"0,6134"</f>
        <v>0,6134</v>
      </c>
      <c r="F19" s="12" t="s">
        <v>47</v>
      </c>
      <c r="G19" s="23" t="s">
        <v>49</v>
      </c>
      <c r="H19" s="23" t="s">
        <v>26</v>
      </c>
      <c r="I19" s="15"/>
      <c r="J19" s="15"/>
      <c r="K19" s="23" t="s">
        <v>84</v>
      </c>
      <c r="L19" s="23" t="s">
        <v>155</v>
      </c>
      <c r="M19" s="23" t="s">
        <v>146</v>
      </c>
      <c r="N19" s="15"/>
      <c r="O19" s="15" t="str">
        <f>"272,5"</f>
        <v>272,5</v>
      </c>
      <c r="P19" s="15" t="str">
        <f>"167,1515"</f>
        <v>167,1515</v>
      </c>
      <c r="Q19" s="12" t="s">
        <v>64</v>
      </c>
    </row>
    <row r="20" spans="1:17" x14ac:dyDescent="0.2">
      <c r="A20" s="30" t="s">
        <v>15</v>
      </c>
      <c r="B20" s="19" t="s">
        <v>589</v>
      </c>
      <c r="C20" s="13" t="s">
        <v>591</v>
      </c>
      <c r="D20" s="13" t="s">
        <v>249</v>
      </c>
      <c r="E20" s="13" t="str">
        <f>"0,6134"</f>
        <v>0,6134</v>
      </c>
      <c r="F20" s="13" t="s">
        <v>47</v>
      </c>
      <c r="G20" s="21" t="s">
        <v>49</v>
      </c>
      <c r="H20" s="21" t="s">
        <v>26</v>
      </c>
      <c r="I20" s="16"/>
      <c r="J20" s="16"/>
      <c r="K20" s="21" t="s">
        <v>84</v>
      </c>
      <c r="L20" s="21" t="s">
        <v>155</v>
      </c>
      <c r="M20" s="21" t="s">
        <v>146</v>
      </c>
      <c r="N20" s="16"/>
      <c r="O20" s="16" t="str">
        <f>"272,5"</f>
        <v>272,5</v>
      </c>
      <c r="P20" s="16" t="str">
        <f>"171,8317"</f>
        <v>171,8317</v>
      </c>
      <c r="Q20" s="13" t="s">
        <v>64</v>
      </c>
    </row>
    <row r="21" spans="1:17" x14ac:dyDescent="0.2">
      <c r="B21" s="5" t="s">
        <v>51</v>
      </c>
    </row>
    <row r="22" spans="1:17" ht="15" x14ac:dyDescent="0.2">
      <c r="A22" s="49" t="s">
        <v>261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7" x14ac:dyDescent="0.2">
      <c r="A23" s="31" t="s">
        <v>15</v>
      </c>
      <c r="B23" s="10" t="s">
        <v>535</v>
      </c>
      <c r="C23" s="4" t="s">
        <v>536</v>
      </c>
      <c r="D23" s="4" t="s">
        <v>592</v>
      </c>
      <c r="E23" s="4" t="str">
        <f>"0,5738"</f>
        <v>0,5738</v>
      </c>
      <c r="F23" s="4" t="s">
        <v>260</v>
      </c>
      <c r="G23" s="8" t="s">
        <v>136</v>
      </c>
      <c r="H23" s="9" t="s">
        <v>184</v>
      </c>
      <c r="I23" s="8" t="s">
        <v>184</v>
      </c>
      <c r="J23" s="7"/>
      <c r="K23" s="8" t="s">
        <v>270</v>
      </c>
      <c r="L23" s="8" t="s">
        <v>266</v>
      </c>
      <c r="M23" s="9" t="s">
        <v>377</v>
      </c>
      <c r="N23" s="7"/>
      <c r="O23" s="7" t="str">
        <f>"510,0"</f>
        <v>510,0</v>
      </c>
      <c r="P23" s="7" t="str">
        <f>"292,6380"</f>
        <v>292,6380</v>
      </c>
      <c r="Q23" s="4" t="s">
        <v>64</v>
      </c>
    </row>
    <row r="24" spans="1:17" x14ac:dyDescent="0.2">
      <c r="B24" s="5" t="s">
        <v>51</v>
      </c>
    </row>
    <row r="25" spans="1:17" ht="15" x14ac:dyDescent="0.2">
      <c r="A25" s="49" t="s">
        <v>278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7" x14ac:dyDescent="0.2">
      <c r="A26" s="31" t="s">
        <v>15</v>
      </c>
      <c r="B26" s="10" t="s">
        <v>593</v>
      </c>
      <c r="C26" s="4" t="s">
        <v>594</v>
      </c>
      <c r="D26" s="4" t="s">
        <v>595</v>
      </c>
      <c r="E26" s="4" t="str">
        <f>"0,5692"</f>
        <v>0,5692</v>
      </c>
      <c r="F26" s="4" t="s">
        <v>596</v>
      </c>
      <c r="G26" s="8" t="s">
        <v>135</v>
      </c>
      <c r="H26" s="8" t="s">
        <v>136</v>
      </c>
      <c r="I26" s="9" t="s">
        <v>184</v>
      </c>
      <c r="J26" s="7"/>
      <c r="K26" s="8" t="s">
        <v>377</v>
      </c>
      <c r="L26" s="8" t="s">
        <v>298</v>
      </c>
      <c r="M26" s="8" t="s">
        <v>404</v>
      </c>
      <c r="N26" s="7"/>
      <c r="O26" s="7" t="str">
        <f>"540,0"</f>
        <v>540,0</v>
      </c>
      <c r="P26" s="7" t="str">
        <f>"307,3680"</f>
        <v>307,3680</v>
      </c>
      <c r="Q26" s="4" t="s">
        <v>64</v>
      </c>
    </row>
    <row r="27" spans="1:17" x14ac:dyDescent="0.2">
      <c r="B27" s="5" t="s">
        <v>51</v>
      </c>
    </row>
    <row r="30" spans="1:17" ht="18" x14ac:dyDescent="0.25">
      <c r="B30" s="26" t="s">
        <v>284</v>
      </c>
      <c r="C30" s="26"/>
    </row>
    <row r="31" spans="1:17" ht="15" x14ac:dyDescent="0.2">
      <c r="B31" s="45" t="s">
        <v>300</v>
      </c>
      <c r="C31" s="45"/>
    </row>
    <row r="32" spans="1:17" ht="14.25" x14ac:dyDescent="0.2">
      <c r="B32" s="27"/>
      <c r="C32" s="27" t="s">
        <v>286</v>
      </c>
    </row>
    <row r="33" spans="2:6" ht="15" x14ac:dyDescent="0.2">
      <c r="B33" s="47" t="s">
        <v>287</v>
      </c>
      <c r="C33" s="47" t="s">
        <v>288</v>
      </c>
      <c r="D33" s="47" t="s">
        <v>597</v>
      </c>
      <c r="E33" s="47" t="s">
        <v>290</v>
      </c>
      <c r="F33" s="47" t="s">
        <v>291</v>
      </c>
    </row>
    <row r="34" spans="2:6" x14ac:dyDescent="0.2">
      <c r="B34" s="3" t="s">
        <v>593</v>
      </c>
      <c r="C34" s="5" t="s">
        <v>286</v>
      </c>
      <c r="D34" s="6" t="s">
        <v>413</v>
      </c>
      <c r="E34" s="6" t="s">
        <v>598</v>
      </c>
      <c r="F34" s="6" t="s">
        <v>599</v>
      </c>
    </row>
    <row r="35" spans="2:6" x14ac:dyDescent="0.2">
      <c r="B35" s="3" t="s">
        <v>576</v>
      </c>
      <c r="C35" s="5" t="s">
        <v>286</v>
      </c>
      <c r="D35" s="6" t="s">
        <v>551</v>
      </c>
      <c r="E35" s="6" t="s">
        <v>600</v>
      </c>
      <c r="F35" s="6" t="s">
        <v>601</v>
      </c>
    </row>
    <row r="36" spans="2:6" x14ac:dyDescent="0.2">
      <c r="B36" s="3" t="s">
        <v>535</v>
      </c>
      <c r="C36" s="5" t="s">
        <v>286</v>
      </c>
      <c r="D36" s="6" t="s">
        <v>301</v>
      </c>
      <c r="E36" s="6" t="s">
        <v>602</v>
      </c>
      <c r="F36" s="6" t="s">
        <v>603</v>
      </c>
    </row>
  </sheetData>
  <mergeCells count="18">
    <mergeCell ref="A1:Q2"/>
    <mergeCell ref="A3:A4"/>
    <mergeCell ref="C3:C4"/>
    <mergeCell ref="D3:D4"/>
    <mergeCell ref="E3:E4"/>
    <mergeCell ref="F3:F4"/>
    <mergeCell ref="G3:J3"/>
    <mergeCell ref="K3:N3"/>
    <mergeCell ref="B3:B4"/>
    <mergeCell ref="O3:O4"/>
    <mergeCell ref="P3:P4"/>
    <mergeCell ref="Q3:Q4"/>
    <mergeCell ref="A25:N25"/>
    <mergeCell ref="A5:N5"/>
    <mergeCell ref="A9:N9"/>
    <mergeCell ref="A12:N12"/>
    <mergeCell ref="A17:N17"/>
    <mergeCell ref="A22:N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6" bestFit="1" customWidth="1"/>
    <col min="2" max="2" width="19" style="5" bestFit="1" customWidth="1"/>
    <col min="3" max="3" width="28.42578125" style="3" bestFit="1" customWidth="1"/>
    <col min="4" max="4" width="21.42578125" style="3" bestFit="1" customWidth="1"/>
    <col min="5" max="5" width="10.42578125" style="3" bestFit="1" customWidth="1"/>
    <col min="6" max="6" width="23.140625" style="3" bestFit="1" customWidth="1"/>
    <col min="7" max="7" width="9.28515625" style="2" customWidth="1"/>
    <col min="8" max="8" width="10.42578125" style="40" customWidth="1"/>
    <col min="9" max="9" width="10.42578125" style="2" bestFit="1" customWidth="1"/>
    <col min="10" max="10" width="9.42578125" style="2" bestFit="1" customWidth="1"/>
    <col min="11" max="11" width="15.42578125" style="3" bestFit="1" customWidth="1"/>
    <col min="12" max="16384" width="9.140625" style="3"/>
  </cols>
  <sheetData>
    <row r="1" spans="1:11" s="2" customFormat="1" ht="29.1" customHeight="1" x14ac:dyDescent="0.2">
      <c r="A1" s="58" t="s">
        <v>642</v>
      </c>
      <c r="B1" s="59"/>
      <c r="C1" s="60"/>
      <c r="D1" s="60"/>
      <c r="E1" s="60"/>
      <c r="F1" s="60"/>
      <c r="G1" s="60"/>
      <c r="H1" s="60"/>
      <c r="I1" s="60"/>
      <c r="J1" s="60"/>
      <c r="K1" s="61"/>
    </row>
    <row r="2" spans="1:11" s="2" customFormat="1" ht="62.1" customHeight="1" x14ac:dyDescent="0.2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s="1" customFormat="1" ht="12.75" customHeight="1" x14ac:dyDescent="0.2">
      <c r="A3" s="71" t="s">
        <v>1</v>
      </c>
      <c r="B3" s="73" t="s">
        <v>2</v>
      </c>
      <c r="C3" s="72" t="s">
        <v>3</v>
      </c>
      <c r="D3" s="72" t="s">
        <v>4</v>
      </c>
      <c r="E3" s="73" t="s">
        <v>639</v>
      </c>
      <c r="F3" s="73" t="s">
        <v>6</v>
      </c>
      <c r="G3" s="73" t="s">
        <v>643</v>
      </c>
      <c r="H3" s="73"/>
      <c r="I3" s="73" t="s">
        <v>644</v>
      </c>
      <c r="J3" s="73" t="s">
        <v>11</v>
      </c>
      <c r="K3" s="74" t="s">
        <v>12</v>
      </c>
    </row>
    <row r="4" spans="1:11" s="1" customFormat="1" ht="21" customHeight="1" thickBot="1" x14ac:dyDescent="0.25">
      <c r="A4" s="66"/>
      <c r="B4" s="57"/>
      <c r="C4" s="53"/>
      <c r="D4" s="53"/>
      <c r="E4" s="53"/>
      <c r="F4" s="53"/>
      <c r="G4" s="46" t="s">
        <v>645</v>
      </c>
      <c r="H4" s="37" t="s">
        <v>646</v>
      </c>
      <c r="I4" s="53"/>
      <c r="J4" s="53"/>
      <c r="K4" s="55"/>
    </row>
    <row r="5" spans="1:11" ht="15" x14ac:dyDescent="0.2">
      <c r="A5" s="49" t="s">
        <v>320</v>
      </c>
      <c r="B5" s="49"/>
      <c r="C5" s="56"/>
      <c r="D5" s="56"/>
      <c r="E5" s="56"/>
      <c r="F5" s="56"/>
      <c r="G5" s="56"/>
      <c r="H5" s="56"/>
    </row>
    <row r="6" spans="1:11" x14ac:dyDescent="0.2">
      <c r="A6" s="28" t="s">
        <v>15</v>
      </c>
      <c r="B6" s="17" t="s">
        <v>647</v>
      </c>
      <c r="C6" s="11" t="s">
        <v>648</v>
      </c>
      <c r="D6" s="11" t="s">
        <v>649</v>
      </c>
      <c r="E6" s="11" t="str">
        <f>"0,8510"</f>
        <v>0,8510</v>
      </c>
      <c r="F6" s="11" t="s">
        <v>650</v>
      </c>
      <c r="G6" s="14" t="s">
        <v>90</v>
      </c>
      <c r="H6" s="38">
        <v>31</v>
      </c>
      <c r="I6" s="14" t="str">
        <f>"1860,0"</f>
        <v>1860,0</v>
      </c>
      <c r="J6" s="14" t="str">
        <f>"1582,7670"</f>
        <v>1582,7670</v>
      </c>
      <c r="K6" s="11" t="s">
        <v>64</v>
      </c>
    </row>
    <row r="7" spans="1:11" x14ac:dyDescent="0.2">
      <c r="A7" s="30" t="s">
        <v>15</v>
      </c>
      <c r="B7" s="19" t="s">
        <v>647</v>
      </c>
      <c r="C7" s="13" t="s">
        <v>651</v>
      </c>
      <c r="D7" s="13" t="s">
        <v>649</v>
      </c>
      <c r="E7" s="13" t="str">
        <f>"0,8510"</f>
        <v>0,8510</v>
      </c>
      <c r="F7" s="13" t="s">
        <v>650</v>
      </c>
      <c r="G7" s="16" t="s">
        <v>90</v>
      </c>
      <c r="H7" s="39">
        <v>31</v>
      </c>
      <c r="I7" s="16" t="str">
        <f>"1860,0"</f>
        <v>1860,0</v>
      </c>
      <c r="J7" s="16" t="str">
        <f>"1761,6197"</f>
        <v>1761,6197</v>
      </c>
      <c r="K7" s="13" t="s">
        <v>64</v>
      </c>
    </row>
    <row r="8" spans="1:11" x14ac:dyDescent="0.2">
      <c r="B8" s="5" t="s">
        <v>51</v>
      </c>
    </row>
    <row r="9" spans="1:11" ht="15" x14ac:dyDescent="0.2">
      <c r="A9" s="49" t="s">
        <v>77</v>
      </c>
      <c r="B9" s="49"/>
      <c r="C9" s="49"/>
      <c r="D9" s="49"/>
      <c r="E9" s="49"/>
      <c r="F9" s="49"/>
      <c r="G9" s="49"/>
      <c r="H9" s="49"/>
    </row>
    <row r="10" spans="1:11" x14ac:dyDescent="0.2">
      <c r="A10" s="28" t="s">
        <v>15</v>
      </c>
      <c r="B10" s="17" t="s">
        <v>652</v>
      </c>
      <c r="C10" s="11" t="s">
        <v>653</v>
      </c>
      <c r="D10" s="11" t="s">
        <v>613</v>
      </c>
      <c r="E10" s="11" t="str">
        <f>"0,7581"</f>
        <v>0,7581</v>
      </c>
      <c r="F10" s="11" t="s">
        <v>654</v>
      </c>
      <c r="G10" s="14" t="s">
        <v>59</v>
      </c>
      <c r="H10" s="38">
        <v>43</v>
      </c>
      <c r="I10" s="14" t="str">
        <f>"2902,5"</f>
        <v>2902,5</v>
      </c>
      <c r="J10" s="14" t="str">
        <f>"2200,2402"</f>
        <v>2200,2402</v>
      </c>
      <c r="K10" s="11" t="s">
        <v>64</v>
      </c>
    </row>
    <row r="11" spans="1:11" x14ac:dyDescent="0.2">
      <c r="A11" s="30" t="s">
        <v>15</v>
      </c>
      <c r="B11" s="19" t="s">
        <v>655</v>
      </c>
      <c r="C11" s="13" t="s">
        <v>656</v>
      </c>
      <c r="D11" s="13" t="s">
        <v>657</v>
      </c>
      <c r="E11" s="13" t="str">
        <f>"0,7919"</f>
        <v>0,7919</v>
      </c>
      <c r="F11" s="13" t="s">
        <v>658</v>
      </c>
      <c r="G11" s="16" t="s">
        <v>58</v>
      </c>
      <c r="H11" s="39">
        <v>35</v>
      </c>
      <c r="I11" s="16" t="str">
        <f>"2275,0"</f>
        <v>2275,0</v>
      </c>
      <c r="J11" s="16" t="str">
        <f>"1837,7199"</f>
        <v>1837,7199</v>
      </c>
      <c r="K11" s="13" t="s">
        <v>64</v>
      </c>
    </row>
    <row r="12" spans="1:11" x14ac:dyDescent="0.2">
      <c r="B12" s="5" t="s">
        <v>51</v>
      </c>
    </row>
    <row r="13" spans="1:11" ht="15" x14ac:dyDescent="0.2">
      <c r="A13" s="49" t="s">
        <v>102</v>
      </c>
      <c r="B13" s="49"/>
      <c r="C13" s="49"/>
      <c r="D13" s="49"/>
      <c r="E13" s="49"/>
      <c r="F13" s="49"/>
      <c r="G13" s="49"/>
      <c r="H13" s="49"/>
    </row>
    <row r="14" spans="1:11" x14ac:dyDescent="0.2">
      <c r="A14" s="31" t="s">
        <v>15</v>
      </c>
      <c r="B14" s="10" t="s">
        <v>659</v>
      </c>
      <c r="C14" s="4" t="s">
        <v>660</v>
      </c>
      <c r="D14" s="4" t="s">
        <v>638</v>
      </c>
      <c r="E14" s="4" t="str">
        <f>"0,6934"</f>
        <v>0,6934</v>
      </c>
      <c r="F14" s="4" t="s">
        <v>47</v>
      </c>
      <c r="G14" s="7" t="s">
        <v>48</v>
      </c>
      <c r="H14" s="41">
        <v>36</v>
      </c>
      <c r="I14" s="7" t="str">
        <f>"2700,0"</f>
        <v>2700,0</v>
      </c>
      <c r="J14" s="7" t="str">
        <f>"1952,5430"</f>
        <v>1952,5430</v>
      </c>
      <c r="K14" s="4" t="s">
        <v>64</v>
      </c>
    </row>
    <row r="15" spans="1:11" x14ac:dyDescent="0.2">
      <c r="B15" s="5" t="s">
        <v>51</v>
      </c>
    </row>
    <row r="16" spans="1:11" ht="15" x14ac:dyDescent="0.2">
      <c r="A16" s="49" t="s">
        <v>209</v>
      </c>
      <c r="B16" s="49"/>
      <c r="C16" s="49"/>
      <c r="D16" s="49"/>
      <c r="E16" s="49"/>
      <c r="F16" s="49"/>
      <c r="G16" s="49"/>
      <c r="H16" s="49"/>
    </row>
    <row r="17" spans="1:11" x14ac:dyDescent="0.2">
      <c r="A17" s="28" t="s">
        <v>15</v>
      </c>
      <c r="B17" s="17" t="s">
        <v>661</v>
      </c>
      <c r="C17" s="11" t="s">
        <v>662</v>
      </c>
      <c r="D17" s="11" t="s">
        <v>616</v>
      </c>
      <c r="E17" s="11" t="str">
        <f>"0,6137"</f>
        <v>0,6137</v>
      </c>
      <c r="F17" s="11" t="s">
        <v>640</v>
      </c>
      <c r="G17" s="14" t="s">
        <v>22</v>
      </c>
      <c r="H17" s="38">
        <v>44</v>
      </c>
      <c r="I17" s="14" t="str">
        <f>"3960,0"</f>
        <v>3960,0</v>
      </c>
      <c r="J17" s="14" t="str">
        <f>"2430,4499"</f>
        <v>2430,4499</v>
      </c>
      <c r="K17" s="11" t="s">
        <v>64</v>
      </c>
    </row>
    <row r="18" spans="1:11" x14ac:dyDescent="0.2">
      <c r="A18" s="29" t="s">
        <v>41</v>
      </c>
      <c r="B18" s="18" t="s">
        <v>614</v>
      </c>
      <c r="C18" s="12" t="s">
        <v>615</v>
      </c>
      <c r="D18" s="12" t="s">
        <v>616</v>
      </c>
      <c r="E18" s="12" t="str">
        <f>"0,6137"</f>
        <v>0,6137</v>
      </c>
      <c r="F18" s="12" t="s">
        <v>47</v>
      </c>
      <c r="G18" s="15" t="s">
        <v>22</v>
      </c>
      <c r="H18" s="42">
        <v>28</v>
      </c>
      <c r="I18" s="15" t="str">
        <f>"2520,0"</f>
        <v>2520,0</v>
      </c>
      <c r="J18" s="15" t="str">
        <f>"1546,6500"</f>
        <v>1546,6500</v>
      </c>
      <c r="K18" s="12" t="s">
        <v>617</v>
      </c>
    </row>
    <row r="19" spans="1:11" x14ac:dyDescent="0.2">
      <c r="A19" s="30" t="s">
        <v>15</v>
      </c>
      <c r="B19" s="19" t="s">
        <v>620</v>
      </c>
      <c r="C19" s="13" t="s">
        <v>663</v>
      </c>
      <c r="D19" s="13" t="s">
        <v>621</v>
      </c>
      <c r="E19" s="13" t="str">
        <f>"0,6373"</f>
        <v>0,6373</v>
      </c>
      <c r="F19" s="13" t="s">
        <v>622</v>
      </c>
      <c r="G19" s="16" t="s">
        <v>32</v>
      </c>
      <c r="H19" s="39">
        <v>16</v>
      </c>
      <c r="I19" s="16" t="str">
        <f>"1360,0"</f>
        <v>1360,0</v>
      </c>
      <c r="J19" s="16" t="str">
        <f>"1590,3211"</f>
        <v>1590,3211</v>
      </c>
      <c r="K19" s="13" t="s">
        <v>64</v>
      </c>
    </row>
    <row r="20" spans="1:11" x14ac:dyDescent="0.2">
      <c r="B20" s="5" t="s">
        <v>51</v>
      </c>
    </row>
    <row r="21" spans="1:11" ht="15" x14ac:dyDescent="0.2">
      <c r="A21" s="49" t="s">
        <v>231</v>
      </c>
      <c r="B21" s="49"/>
      <c r="C21" s="49"/>
      <c r="D21" s="49"/>
      <c r="E21" s="49"/>
      <c r="F21" s="49"/>
      <c r="G21" s="49"/>
      <c r="H21" s="49"/>
    </row>
    <row r="22" spans="1:11" x14ac:dyDescent="0.2">
      <c r="A22" s="28" t="s">
        <v>15</v>
      </c>
      <c r="B22" s="17" t="s">
        <v>664</v>
      </c>
      <c r="C22" s="11" t="s">
        <v>665</v>
      </c>
      <c r="D22" s="11" t="s">
        <v>666</v>
      </c>
      <c r="E22" s="11" t="str">
        <f>"0,5878"</f>
        <v>0,5878</v>
      </c>
      <c r="F22" s="11" t="s">
        <v>618</v>
      </c>
      <c r="G22" s="14" t="s">
        <v>163</v>
      </c>
      <c r="H22" s="38">
        <v>27</v>
      </c>
      <c r="I22" s="14" t="str">
        <f>"2632,5"</f>
        <v>2632,5</v>
      </c>
      <c r="J22" s="14" t="str">
        <f>"1547,2519"</f>
        <v>1547,2519</v>
      </c>
      <c r="K22" s="11" t="s">
        <v>236</v>
      </c>
    </row>
    <row r="23" spans="1:11" x14ac:dyDescent="0.2">
      <c r="A23" s="30" t="s">
        <v>15</v>
      </c>
      <c r="B23" s="19" t="s">
        <v>625</v>
      </c>
      <c r="C23" s="13" t="s">
        <v>667</v>
      </c>
      <c r="D23" s="13" t="s">
        <v>624</v>
      </c>
      <c r="E23" s="13" t="str">
        <f>"0,5831"</f>
        <v>0,5831</v>
      </c>
      <c r="F23" s="13" t="s">
        <v>622</v>
      </c>
      <c r="G23" s="16" t="s">
        <v>26</v>
      </c>
      <c r="H23" s="39">
        <v>11</v>
      </c>
      <c r="I23" s="16" t="str">
        <f>"1100,0"</f>
        <v>1100,0</v>
      </c>
      <c r="J23" s="16" t="str">
        <f>"969,0874"</f>
        <v>969,0874</v>
      </c>
      <c r="K23" s="13" t="s">
        <v>64</v>
      </c>
    </row>
    <row r="24" spans="1:11" x14ac:dyDescent="0.2">
      <c r="B24" s="5" t="s">
        <v>51</v>
      </c>
    </row>
    <row r="25" spans="1:11" ht="15" x14ac:dyDescent="0.2">
      <c r="A25" s="49" t="s">
        <v>256</v>
      </c>
      <c r="B25" s="49"/>
      <c r="C25" s="49"/>
      <c r="D25" s="49"/>
      <c r="E25" s="49"/>
      <c r="F25" s="49"/>
      <c r="G25" s="49"/>
      <c r="H25" s="49"/>
    </row>
    <row r="26" spans="1:11" x14ac:dyDescent="0.2">
      <c r="A26" s="28" t="s">
        <v>15</v>
      </c>
      <c r="B26" s="17" t="s">
        <v>668</v>
      </c>
      <c r="C26" s="11" t="s">
        <v>669</v>
      </c>
      <c r="D26" s="11" t="s">
        <v>627</v>
      </c>
      <c r="E26" s="11" t="str">
        <f>"0,5765"</f>
        <v>0,5765</v>
      </c>
      <c r="F26" s="11" t="s">
        <v>670</v>
      </c>
      <c r="G26" s="14" t="s">
        <v>164</v>
      </c>
      <c r="H26" s="38">
        <v>26</v>
      </c>
      <c r="I26" s="14" t="str">
        <f>"2665,0"</f>
        <v>2665,0</v>
      </c>
      <c r="J26" s="14" t="str">
        <f>"1536,3725"</f>
        <v>1536,3725</v>
      </c>
      <c r="K26" s="11" t="s">
        <v>64</v>
      </c>
    </row>
    <row r="27" spans="1:11" x14ac:dyDescent="0.2">
      <c r="A27" s="30" t="s">
        <v>15</v>
      </c>
      <c r="B27" s="19" t="s">
        <v>628</v>
      </c>
      <c r="C27" s="13" t="s">
        <v>629</v>
      </c>
      <c r="D27" s="13" t="s">
        <v>626</v>
      </c>
      <c r="E27" s="13" t="str">
        <f>"0,5681"</f>
        <v>0,5681</v>
      </c>
      <c r="F27" s="13" t="s">
        <v>235</v>
      </c>
      <c r="G27" s="16" t="s">
        <v>337</v>
      </c>
      <c r="H27" s="39">
        <v>26</v>
      </c>
      <c r="I27" s="16" t="str">
        <f>"2795,0"</f>
        <v>2795,0</v>
      </c>
      <c r="J27" s="16" t="str">
        <f>"1849,8329"</f>
        <v>1849,8329</v>
      </c>
      <c r="K27" s="13" t="s">
        <v>236</v>
      </c>
    </row>
    <row r="28" spans="1:11" x14ac:dyDescent="0.2">
      <c r="B28" s="5" t="s">
        <v>51</v>
      </c>
    </row>
  </sheetData>
  <mergeCells count="17">
    <mergeCell ref="A5:H5"/>
    <mergeCell ref="A1:K2"/>
    <mergeCell ref="A3:A4"/>
    <mergeCell ref="C3:C4"/>
    <mergeCell ref="D3:D4"/>
    <mergeCell ref="E3:E4"/>
    <mergeCell ref="F3:F4"/>
    <mergeCell ref="B3:B4"/>
    <mergeCell ref="G3:H3"/>
    <mergeCell ref="I3:I4"/>
    <mergeCell ref="J3:J4"/>
    <mergeCell ref="K3:K4"/>
    <mergeCell ref="A9:H9"/>
    <mergeCell ref="A13:H13"/>
    <mergeCell ref="A16:H16"/>
    <mergeCell ref="A21:H21"/>
    <mergeCell ref="A25:H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3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6" bestFit="1" customWidth="1"/>
    <col min="2" max="2" width="21" style="5" bestFit="1" customWidth="1"/>
    <col min="3" max="3" width="26.28515625" style="3" bestFit="1" customWidth="1"/>
    <col min="4" max="4" width="21.42578125" style="3" bestFit="1" customWidth="1"/>
    <col min="5" max="5" width="10.42578125" style="3" bestFit="1" customWidth="1"/>
    <col min="6" max="6" width="23.140625" style="3" bestFit="1" customWidth="1"/>
    <col min="7" max="7" width="9.85546875" style="2" customWidth="1"/>
    <col min="8" max="8" width="10.42578125" style="40" customWidth="1"/>
    <col min="9" max="9" width="10.42578125" style="2" bestFit="1" customWidth="1"/>
    <col min="10" max="10" width="9.42578125" style="2" bestFit="1" customWidth="1"/>
    <col min="11" max="11" width="29.140625" style="3" bestFit="1" customWidth="1"/>
    <col min="12" max="16384" width="9.140625" style="3"/>
  </cols>
  <sheetData>
    <row r="1" spans="1:11" s="2" customFormat="1" ht="29.1" customHeight="1" x14ac:dyDescent="0.2">
      <c r="A1" s="58" t="s">
        <v>671</v>
      </c>
      <c r="B1" s="59"/>
      <c r="C1" s="60"/>
      <c r="D1" s="60"/>
      <c r="E1" s="60"/>
      <c r="F1" s="60"/>
      <c r="G1" s="60"/>
      <c r="H1" s="60"/>
      <c r="I1" s="60"/>
      <c r="J1" s="60"/>
      <c r="K1" s="61"/>
    </row>
    <row r="2" spans="1:11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1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639</v>
      </c>
      <c r="F3" s="52" t="s">
        <v>6</v>
      </c>
      <c r="G3" s="52" t="s">
        <v>643</v>
      </c>
      <c r="H3" s="52"/>
      <c r="I3" s="52" t="s">
        <v>644</v>
      </c>
      <c r="J3" s="52" t="s">
        <v>11</v>
      </c>
      <c r="K3" s="54" t="s">
        <v>12</v>
      </c>
    </row>
    <row r="4" spans="1:11" s="1" customFormat="1" ht="21" customHeight="1" thickBot="1" x14ac:dyDescent="0.25">
      <c r="A4" s="66"/>
      <c r="B4" s="57"/>
      <c r="C4" s="53"/>
      <c r="D4" s="53"/>
      <c r="E4" s="53"/>
      <c r="F4" s="53"/>
      <c r="G4" s="46" t="s">
        <v>645</v>
      </c>
      <c r="H4" s="37" t="s">
        <v>646</v>
      </c>
      <c r="I4" s="53"/>
      <c r="J4" s="53"/>
      <c r="K4" s="55"/>
    </row>
    <row r="5" spans="1:11" ht="15" x14ac:dyDescent="0.2">
      <c r="A5" s="49" t="s">
        <v>102</v>
      </c>
      <c r="B5" s="49"/>
      <c r="C5" s="56"/>
      <c r="D5" s="56"/>
      <c r="E5" s="56"/>
      <c r="F5" s="56"/>
      <c r="G5" s="56"/>
      <c r="H5" s="56"/>
    </row>
    <row r="6" spans="1:11" x14ac:dyDescent="0.2">
      <c r="A6" s="31" t="s">
        <v>15</v>
      </c>
      <c r="B6" s="10" t="s">
        <v>672</v>
      </c>
      <c r="C6" s="4" t="s">
        <v>673</v>
      </c>
      <c r="D6" s="4" t="s">
        <v>674</v>
      </c>
      <c r="E6" s="4" t="str">
        <f>"0,7279"</f>
        <v>0,7279</v>
      </c>
      <c r="F6" s="4" t="s">
        <v>47</v>
      </c>
      <c r="G6" s="7" t="s">
        <v>60</v>
      </c>
      <c r="H6" s="41">
        <v>42</v>
      </c>
      <c r="I6" s="7" t="str">
        <f>"2940,0"</f>
        <v>2940,0</v>
      </c>
      <c r="J6" s="7" t="str">
        <f>"2140,0261"</f>
        <v>2140,0261</v>
      </c>
      <c r="K6" s="4" t="s">
        <v>675</v>
      </c>
    </row>
    <row r="7" spans="1:11" x14ac:dyDescent="0.2">
      <c r="B7" s="5" t="s">
        <v>51</v>
      </c>
    </row>
    <row r="8" spans="1:11" ht="15" x14ac:dyDescent="0.2">
      <c r="A8" s="49" t="s">
        <v>173</v>
      </c>
      <c r="B8" s="49"/>
      <c r="C8" s="49"/>
      <c r="D8" s="49"/>
      <c r="E8" s="49"/>
      <c r="F8" s="49"/>
      <c r="G8" s="49"/>
      <c r="H8" s="49"/>
    </row>
    <row r="9" spans="1:11" x14ac:dyDescent="0.2">
      <c r="A9" s="28" t="s">
        <v>15</v>
      </c>
      <c r="B9" s="17" t="s">
        <v>676</v>
      </c>
      <c r="C9" s="11" t="s">
        <v>677</v>
      </c>
      <c r="D9" s="11" t="s">
        <v>630</v>
      </c>
      <c r="E9" s="11" t="str">
        <f>"0,6482"</f>
        <v>0,6482</v>
      </c>
      <c r="F9" s="11" t="s">
        <v>678</v>
      </c>
      <c r="G9" s="14" t="s">
        <v>20</v>
      </c>
      <c r="H9" s="38">
        <v>70</v>
      </c>
      <c r="I9" s="14" t="str">
        <f>"5775,0"</f>
        <v>5775,0</v>
      </c>
      <c r="J9" s="14" t="str">
        <f>"3743,3549"</f>
        <v>3743,3549</v>
      </c>
      <c r="K9" s="11" t="s">
        <v>64</v>
      </c>
    </row>
    <row r="10" spans="1:11" x14ac:dyDescent="0.2">
      <c r="A10" s="29" t="s">
        <v>41</v>
      </c>
      <c r="B10" s="18" t="s">
        <v>679</v>
      </c>
      <c r="C10" s="12" t="s">
        <v>680</v>
      </c>
      <c r="D10" s="12" t="s">
        <v>681</v>
      </c>
      <c r="E10" s="12" t="str">
        <f>"0,6752"</f>
        <v>0,6752</v>
      </c>
      <c r="F10" s="12" t="s">
        <v>640</v>
      </c>
      <c r="G10" s="15" t="s">
        <v>68</v>
      </c>
      <c r="H10" s="42">
        <v>74</v>
      </c>
      <c r="I10" s="15" t="str">
        <f>"5735,0"</f>
        <v>5735,0</v>
      </c>
      <c r="J10" s="15" t="str">
        <f>"3872,2719"</f>
        <v>3872,2719</v>
      </c>
      <c r="K10" s="12" t="s">
        <v>682</v>
      </c>
    </row>
    <row r="11" spans="1:11" x14ac:dyDescent="0.2">
      <c r="A11" s="30" t="s">
        <v>43</v>
      </c>
      <c r="B11" s="19" t="s">
        <v>683</v>
      </c>
      <c r="C11" s="13" t="s">
        <v>684</v>
      </c>
      <c r="D11" s="13" t="s">
        <v>685</v>
      </c>
      <c r="E11" s="13" t="str">
        <f>"0,6819"</f>
        <v>0,6819</v>
      </c>
      <c r="F11" s="13" t="s">
        <v>686</v>
      </c>
      <c r="G11" s="16" t="s">
        <v>68</v>
      </c>
      <c r="H11" s="39">
        <v>41</v>
      </c>
      <c r="I11" s="16" t="str">
        <f>"3177,5"</f>
        <v>3177,5</v>
      </c>
      <c r="J11" s="16" t="str">
        <f>"2166,7373"</f>
        <v>2166,7373</v>
      </c>
      <c r="K11" s="13" t="s">
        <v>64</v>
      </c>
    </row>
    <row r="12" spans="1:11" x14ac:dyDescent="0.2">
      <c r="B12" s="5" t="s">
        <v>51</v>
      </c>
    </row>
    <row r="13" spans="1:11" ht="15" x14ac:dyDescent="0.2">
      <c r="A13" s="49" t="s">
        <v>209</v>
      </c>
      <c r="B13" s="49"/>
      <c r="C13" s="49"/>
      <c r="D13" s="49"/>
      <c r="E13" s="49"/>
      <c r="F13" s="49"/>
      <c r="G13" s="49"/>
      <c r="H13" s="49"/>
    </row>
    <row r="14" spans="1:11" x14ac:dyDescent="0.2">
      <c r="A14" s="28" t="s">
        <v>15</v>
      </c>
      <c r="B14" s="17" t="s">
        <v>631</v>
      </c>
      <c r="C14" s="11" t="s">
        <v>632</v>
      </c>
      <c r="D14" s="11" t="s">
        <v>623</v>
      </c>
      <c r="E14" s="11" t="str">
        <f>"0,6238"</f>
        <v>0,6238</v>
      </c>
      <c r="F14" s="11" t="s">
        <v>633</v>
      </c>
      <c r="G14" s="14" t="s">
        <v>21</v>
      </c>
      <c r="H14" s="38">
        <v>25</v>
      </c>
      <c r="I14" s="14" t="str">
        <f>"2187,5"</f>
        <v>2187,5</v>
      </c>
      <c r="J14" s="14" t="str">
        <f>"1364,6718"</f>
        <v>1364,6718</v>
      </c>
      <c r="K14" s="11" t="s">
        <v>634</v>
      </c>
    </row>
    <row r="15" spans="1:11" x14ac:dyDescent="0.2">
      <c r="A15" s="30" t="s">
        <v>41</v>
      </c>
      <c r="B15" s="19" t="s">
        <v>579</v>
      </c>
      <c r="C15" s="13" t="s">
        <v>580</v>
      </c>
      <c r="D15" s="13" t="s">
        <v>216</v>
      </c>
      <c r="E15" s="13" t="str">
        <f>"0,6255"</f>
        <v>0,6255</v>
      </c>
      <c r="F15" s="13" t="s">
        <v>465</v>
      </c>
      <c r="G15" s="16" t="s">
        <v>21</v>
      </c>
      <c r="H15" s="39">
        <v>23</v>
      </c>
      <c r="I15" s="16" t="str">
        <f>"2012,5"</f>
        <v>2012,5</v>
      </c>
      <c r="J15" s="16" t="str">
        <f>"1258,8188"</f>
        <v>1258,8188</v>
      </c>
      <c r="K15" s="13" t="s">
        <v>466</v>
      </c>
    </row>
    <row r="16" spans="1:11" x14ac:dyDescent="0.2">
      <c r="B16" s="5" t="s">
        <v>51</v>
      </c>
    </row>
    <row r="17" spans="1:11" ht="15" x14ac:dyDescent="0.2">
      <c r="A17" s="49" t="s">
        <v>231</v>
      </c>
      <c r="B17" s="49"/>
      <c r="C17" s="49"/>
      <c r="D17" s="49"/>
      <c r="E17" s="49"/>
      <c r="F17" s="49"/>
      <c r="G17" s="49"/>
      <c r="H17" s="49"/>
    </row>
    <row r="18" spans="1:11" x14ac:dyDescent="0.2">
      <c r="A18" s="28" t="s">
        <v>15</v>
      </c>
      <c r="B18" s="17" t="s">
        <v>687</v>
      </c>
      <c r="C18" s="11" t="s">
        <v>688</v>
      </c>
      <c r="D18" s="11" t="s">
        <v>689</v>
      </c>
      <c r="E18" s="11" t="str">
        <f>"0,6062"</f>
        <v>0,6062</v>
      </c>
      <c r="F18" s="11" t="s">
        <v>690</v>
      </c>
      <c r="G18" s="14" t="s">
        <v>33</v>
      </c>
      <c r="H18" s="38">
        <v>36</v>
      </c>
      <c r="I18" s="14" t="str">
        <f>"3330,0"</f>
        <v>3330,0</v>
      </c>
      <c r="J18" s="14" t="str">
        <f>"2018,7293"</f>
        <v>2018,7293</v>
      </c>
      <c r="K18" s="11" t="s">
        <v>691</v>
      </c>
    </row>
    <row r="19" spans="1:11" x14ac:dyDescent="0.2">
      <c r="A19" s="30" t="s">
        <v>41</v>
      </c>
      <c r="B19" s="19" t="s">
        <v>692</v>
      </c>
      <c r="C19" s="13" t="s">
        <v>693</v>
      </c>
      <c r="D19" s="13" t="s">
        <v>694</v>
      </c>
      <c r="E19" s="13" t="str">
        <f>"0,6075"</f>
        <v>0,6075</v>
      </c>
      <c r="F19" s="13" t="s">
        <v>74</v>
      </c>
      <c r="G19" s="16" t="s">
        <v>33</v>
      </c>
      <c r="H19" s="39">
        <v>23</v>
      </c>
      <c r="I19" s="16" t="str">
        <f>"2127,5"</f>
        <v>2127,5</v>
      </c>
      <c r="J19" s="16" t="str">
        <f>"1292,4563"</f>
        <v>1292,4563</v>
      </c>
      <c r="K19" s="13" t="s">
        <v>64</v>
      </c>
    </row>
    <row r="20" spans="1:11" x14ac:dyDescent="0.2">
      <c r="B20" s="5" t="s">
        <v>51</v>
      </c>
    </row>
    <row r="21" spans="1:11" ht="15" x14ac:dyDescent="0.2">
      <c r="A21" s="49" t="s">
        <v>256</v>
      </c>
      <c r="B21" s="49"/>
      <c r="C21" s="49"/>
      <c r="D21" s="49"/>
      <c r="E21" s="49"/>
      <c r="F21" s="49"/>
      <c r="G21" s="49"/>
      <c r="H21" s="49"/>
    </row>
    <row r="22" spans="1:11" x14ac:dyDescent="0.2">
      <c r="A22" s="31" t="s">
        <v>15</v>
      </c>
      <c r="B22" s="10" t="s">
        <v>635</v>
      </c>
      <c r="C22" s="4" t="s">
        <v>636</v>
      </c>
      <c r="D22" s="4" t="s">
        <v>637</v>
      </c>
      <c r="E22" s="4" t="str">
        <f>"0,5670"</f>
        <v>0,5670</v>
      </c>
      <c r="F22" s="4" t="s">
        <v>47</v>
      </c>
      <c r="G22" s="7" t="s">
        <v>337</v>
      </c>
      <c r="H22" s="41">
        <v>22</v>
      </c>
      <c r="I22" s="7" t="str">
        <f>"2365,0"</f>
        <v>2365,0</v>
      </c>
      <c r="J22" s="7" t="str">
        <f>"1340,8368"</f>
        <v>1340,8368</v>
      </c>
      <c r="K22" s="4" t="s">
        <v>398</v>
      </c>
    </row>
    <row r="23" spans="1:11" x14ac:dyDescent="0.2">
      <c r="B23" s="5" t="s">
        <v>51</v>
      </c>
    </row>
    <row r="26" spans="1:11" ht="18" x14ac:dyDescent="0.25">
      <c r="B26" s="26" t="s">
        <v>284</v>
      </c>
      <c r="C26" s="26"/>
    </row>
    <row r="27" spans="1:11" ht="15" x14ac:dyDescent="0.2">
      <c r="B27" s="45" t="s">
        <v>300</v>
      </c>
      <c r="C27" s="45"/>
    </row>
    <row r="28" spans="1:11" ht="14.25" x14ac:dyDescent="0.2">
      <c r="B28" s="27"/>
      <c r="C28" s="27" t="s">
        <v>286</v>
      </c>
    </row>
    <row r="29" spans="1:11" ht="15" x14ac:dyDescent="0.2">
      <c r="B29" s="47" t="s">
        <v>287</v>
      </c>
      <c r="C29" s="47" t="s">
        <v>288</v>
      </c>
      <c r="D29" s="47" t="s">
        <v>289</v>
      </c>
      <c r="E29" s="47" t="s">
        <v>644</v>
      </c>
      <c r="F29" s="47" t="s">
        <v>641</v>
      </c>
    </row>
    <row r="30" spans="1:11" x14ac:dyDescent="0.2">
      <c r="B30" s="3" t="s">
        <v>679</v>
      </c>
      <c r="C30" s="5" t="s">
        <v>286</v>
      </c>
      <c r="D30" s="6" t="s">
        <v>304</v>
      </c>
      <c r="E30" s="6" t="s">
        <v>695</v>
      </c>
      <c r="F30" s="6" t="s">
        <v>696</v>
      </c>
    </row>
    <row r="31" spans="1:11" x14ac:dyDescent="0.2">
      <c r="B31" s="3" t="s">
        <v>676</v>
      </c>
      <c r="C31" s="5" t="s">
        <v>286</v>
      </c>
      <c r="D31" s="6" t="s">
        <v>304</v>
      </c>
      <c r="E31" s="6" t="s">
        <v>697</v>
      </c>
      <c r="F31" s="6" t="s">
        <v>698</v>
      </c>
    </row>
    <row r="32" spans="1:11" x14ac:dyDescent="0.2">
      <c r="B32" s="3" t="s">
        <v>683</v>
      </c>
      <c r="C32" s="5" t="s">
        <v>286</v>
      </c>
      <c r="D32" s="6" t="s">
        <v>304</v>
      </c>
      <c r="E32" s="6" t="s">
        <v>699</v>
      </c>
      <c r="F32" s="6" t="s">
        <v>700</v>
      </c>
    </row>
    <row r="33" spans="2:2" x14ac:dyDescent="0.2">
      <c r="B33" s="3"/>
    </row>
  </sheetData>
  <mergeCells count="16"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  <mergeCell ref="A8:H8"/>
    <mergeCell ref="A13:H13"/>
    <mergeCell ref="A17:H17"/>
    <mergeCell ref="A21:H21"/>
    <mergeCell ref="B3:B4"/>
    <mergeCell ref="G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workbookViewId="0">
      <selection sqref="A1:K2"/>
    </sheetView>
  </sheetViews>
  <sheetFormatPr baseColWidth="10" defaultColWidth="9.140625" defaultRowHeight="12.75" x14ac:dyDescent="0.2"/>
  <cols>
    <col min="1" max="1" width="7.42578125" style="6" bestFit="1" customWidth="1"/>
    <col min="2" max="2" width="17.7109375" style="5" bestFit="1" customWidth="1"/>
    <col min="3" max="3" width="28.42578125" style="3" bestFit="1" customWidth="1"/>
    <col min="4" max="4" width="21.42578125" style="3" bestFit="1" customWidth="1"/>
    <col min="5" max="5" width="10.42578125" style="3" bestFit="1" customWidth="1"/>
    <col min="6" max="6" width="23.7109375" style="3" bestFit="1" customWidth="1"/>
    <col min="7" max="7" width="11.28515625" style="2" customWidth="1"/>
    <col min="8" max="8" width="10.42578125" style="40" customWidth="1"/>
    <col min="9" max="9" width="10.42578125" style="2" bestFit="1" customWidth="1"/>
    <col min="10" max="10" width="9.42578125" style="2" bestFit="1" customWidth="1"/>
    <col min="11" max="11" width="15.42578125" style="3" bestFit="1" customWidth="1"/>
    <col min="12" max="16384" width="9.140625" style="3"/>
  </cols>
  <sheetData>
    <row r="1" spans="1:11" s="2" customFormat="1" ht="29.1" customHeight="1" x14ac:dyDescent="0.2">
      <c r="A1" s="58" t="s">
        <v>701</v>
      </c>
      <c r="B1" s="59"/>
      <c r="C1" s="60"/>
      <c r="D1" s="60"/>
      <c r="E1" s="60"/>
      <c r="F1" s="60"/>
      <c r="G1" s="60"/>
      <c r="H1" s="60"/>
      <c r="I1" s="60"/>
      <c r="J1" s="60"/>
      <c r="K1" s="61"/>
    </row>
    <row r="2" spans="1:11" s="2" customFormat="1" ht="62.1" customHeight="1" thickBot="1" x14ac:dyDescent="0.25">
      <c r="A2" s="62"/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1" s="1" customFormat="1" ht="12.75" customHeight="1" x14ac:dyDescent="0.2">
      <c r="A3" s="65" t="s">
        <v>1</v>
      </c>
      <c r="B3" s="52" t="s">
        <v>2</v>
      </c>
      <c r="C3" s="67" t="s">
        <v>3</v>
      </c>
      <c r="D3" s="67" t="s">
        <v>4</v>
      </c>
      <c r="E3" s="52" t="s">
        <v>639</v>
      </c>
      <c r="F3" s="52" t="s">
        <v>6</v>
      </c>
      <c r="G3" s="52" t="s">
        <v>643</v>
      </c>
      <c r="H3" s="52"/>
      <c r="I3" s="52" t="s">
        <v>644</v>
      </c>
      <c r="J3" s="52" t="s">
        <v>11</v>
      </c>
      <c r="K3" s="54" t="s">
        <v>12</v>
      </c>
    </row>
    <row r="4" spans="1:11" s="1" customFormat="1" ht="21" customHeight="1" thickBot="1" x14ac:dyDescent="0.25">
      <c r="A4" s="66"/>
      <c r="B4" s="57"/>
      <c r="C4" s="53"/>
      <c r="D4" s="53"/>
      <c r="E4" s="53"/>
      <c r="F4" s="53"/>
      <c r="G4" s="46" t="s">
        <v>645</v>
      </c>
      <c r="H4" s="37" t="s">
        <v>646</v>
      </c>
      <c r="I4" s="53"/>
      <c r="J4" s="53"/>
      <c r="K4" s="55"/>
    </row>
    <row r="5" spans="1:11" ht="15" x14ac:dyDescent="0.2">
      <c r="A5" s="49" t="s">
        <v>14</v>
      </c>
      <c r="B5" s="49"/>
      <c r="C5" s="56"/>
      <c r="D5" s="56"/>
      <c r="E5" s="56"/>
      <c r="F5" s="56"/>
      <c r="G5" s="56"/>
      <c r="H5" s="56"/>
    </row>
    <row r="6" spans="1:11" x14ac:dyDescent="0.2">
      <c r="A6" s="31" t="s">
        <v>15</v>
      </c>
      <c r="B6" s="10" t="s">
        <v>604</v>
      </c>
      <c r="C6" s="4" t="s">
        <v>608</v>
      </c>
      <c r="D6" s="4" t="s">
        <v>605</v>
      </c>
      <c r="E6" s="4" t="str">
        <f>"1,1161"</f>
        <v>1,1161</v>
      </c>
      <c r="F6" s="4" t="s">
        <v>47</v>
      </c>
      <c r="G6" s="7" t="s">
        <v>702</v>
      </c>
      <c r="H6" s="41">
        <v>11</v>
      </c>
      <c r="I6" s="7" t="str">
        <f>"302,5"</f>
        <v>302,5</v>
      </c>
      <c r="J6" s="7" t="str">
        <f>"340,9964"</f>
        <v>340,9964</v>
      </c>
      <c r="K6" s="4" t="s">
        <v>607</v>
      </c>
    </row>
    <row r="7" spans="1:11" x14ac:dyDescent="0.2">
      <c r="B7" s="5" t="s">
        <v>51</v>
      </c>
    </row>
    <row r="8" spans="1:11" ht="15" x14ac:dyDescent="0.2">
      <c r="A8" s="49" t="s">
        <v>52</v>
      </c>
      <c r="B8" s="49"/>
      <c r="C8" s="49"/>
      <c r="D8" s="49"/>
      <c r="E8" s="49"/>
      <c r="F8" s="49"/>
      <c r="G8" s="49"/>
      <c r="H8" s="49"/>
    </row>
    <row r="9" spans="1:11" x14ac:dyDescent="0.2">
      <c r="A9" s="31" t="s">
        <v>15</v>
      </c>
      <c r="B9" s="10" t="s">
        <v>609</v>
      </c>
      <c r="C9" s="4" t="s">
        <v>610</v>
      </c>
      <c r="D9" s="4" t="s">
        <v>611</v>
      </c>
      <c r="E9" s="4" t="str">
        <f>"1,0514"</f>
        <v>1,0514</v>
      </c>
      <c r="F9" s="4" t="s">
        <v>47</v>
      </c>
      <c r="G9" s="7" t="s">
        <v>703</v>
      </c>
      <c r="H9" s="41">
        <v>59</v>
      </c>
      <c r="I9" s="7" t="str">
        <f>"1770,0"</f>
        <v>1770,0</v>
      </c>
      <c r="J9" s="7" t="str">
        <f>"1860,9779"</f>
        <v>1860,9779</v>
      </c>
      <c r="K9" s="4" t="s">
        <v>612</v>
      </c>
    </row>
    <row r="10" spans="1:11" x14ac:dyDescent="0.2">
      <c r="B10" s="5" t="s">
        <v>51</v>
      </c>
    </row>
    <row r="11" spans="1:11" ht="15" x14ac:dyDescent="0.2">
      <c r="A11" s="49" t="s">
        <v>320</v>
      </c>
      <c r="B11" s="49"/>
      <c r="C11" s="49"/>
      <c r="D11" s="49"/>
      <c r="E11" s="49"/>
      <c r="F11" s="49"/>
      <c r="G11" s="49"/>
      <c r="H11" s="49"/>
    </row>
    <row r="12" spans="1:11" x14ac:dyDescent="0.2">
      <c r="A12" s="31" t="s">
        <v>15</v>
      </c>
      <c r="B12" s="10" t="s">
        <v>704</v>
      </c>
      <c r="C12" s="4" t="s">
        <v>705</v>
      </c>
      <c r="D12" s="4" t="s">
        <v>706</v>
      </c>
      <c r="E12" s="4" t="str">
        <f>"0,8796"</f>
        <v>0,8796</v>
      </c>
      <c r="F12" s="4" t="s">
        <v>707</v>
      </c>
      <c r="G12" s="7" t="s">
        <v>703</v>
      </c>
      <c r="H12" s="41">
        <v>45</v>
      </c>
      <c r="I12" s="7" t="str">
        <f>"1350,0"</f>
        <v>1350,0</v>
      </c>
      <c r="J12" s="7" t="str">
        <f>"1187,4600"</f>
        <v>1187,4600</v>
      </c>
      <c r="K12" s="4" t="s">
        <v>708</v>
      </c>
    </row>
    <row r="13" spans="1:11" x14ac:dyDescent="0.2">
      <c r="B13" s="5" t="s">
        <v>51</v>
      </c>
    </row>
    <row r="14" spans="1:11" ht="15" x14ac:dyDescent="0.2">
      <c r="A14" s="49" t="s">
        <v>209</v>
      </c>
      <c r="B14" s="49"/>
      <c r="C14" s="49"/>
      <c r="D14" s="49"/>
      <c r="E14" s="49"/>
      <c r="F14" s="49"/>
      <c r="G14" s="49"/>
      <c r="H14" s="49"/>
    </row>
    <row r="15" spans="1:11" x14ac:dyDescent="0.2">
      <c r="A15" s="28" t="s">
        <v>15</v>
      </c>
      <c r="B15" s="17" t="s">
        <v>709</v>
      </c>
      <c r="C15" s="11" t="s">
        <v>710</v>
      </c>
      <c r="D15" s="11" t="s">
        <v>711</v>
      </c>
      <c r="E15" s="11" t="str">
        <f>"0,6392"</f>
        <v>0,6392</v>
      </c>
      <c r="F15" s="11" t="s">
        <v>712</v>
      </c>
      <c r="G15" s="14" t="s">
        <v>35</v>
      </c>
      <c r="H15" s="38">
        <v>106</v>
      </c>
      <c r="I15" s="14" t="str">
        <f>"4505,0"</f>
        <v>4505,0</v>
      </c>
      <c r="J15" s="14" t="str">
        <f>"4091,9057"</f>
        <v>4091,9057</v>
      </c>
      <c r="K15" s="11" t="s">
        <v>64</v>
      </c>
    </row>
    <row r="16" spans="1:11" x14ac:dyDescent="0.2">
      <c r="A16" s="30" t="s">
        <v>41</v>
      </c>
      <c r="B16" s="19" t="s">
        <v>619</v>
      </c>
      <c r="C16" s="13" t="s">
        <v>713</v>
      </c>
      <c r="D16" s="13" t="s">
        <v>346</v>
      </c>
      <c r="E16" s="13" t="str">
        <f>"0,6119"</f>
        <v>0,6119</v>
      </c>
      <c r="F16" s="13" t="s">
        <v>47</v>
      </c>
      <c r="G16" s="16" t="s">
        <v>36</v>
      </c>
      <c r="H16" s="39">
        <v>57</v>
      </c>
      <c r="I16" s="16" t="str">
        <f>"2565,0"</f>
        <v>2565,0</v>
      </c>
      <c r="J16" s="16" t="str">
        <f>"2186,1677"</f>
        <v>2186,1677</v>
      </c>
      <c r="K16" s="13" t="s">
        <v>64</v>
      </c>
    </row>
    <row r="17" spans="1:11" x14ac:dyDescent="0.2">
      <c r="B17" s="5" t="s">
        <v>51</v>
      </c>
    </row>
    <row r="18" spans="1:11" ht="15" x14ac:dyDescent="0.2">
      <c r="A18" s="49" t="s">
        <v>231</v>
      </c>
      <c r="B18" s="49"/>
      <c r="C18" s="49"/>
      <c r="D18" s="49"/>
      <c r="E18" s="49"/>
      <c r="F18" s="49"/>
      <c r="G18" s="49"/>
      <c r="H18" s="49"/>
    </row>
    <row r="19" spans="1:11" x14ac:dyDescent="0.2">
      <c r="A19" s="31" t="s">
        <v>15</v>
      </c>
      <c r="B19" s="10" t="s">
        <v>714</v>
      </c>
      <c r="C19" s="4" t="s">
        <v>715</v>
      </c>
      <c r="D19" s="4" t="s">
        <v>716</v>
      </c>
      <c r="E19" s="4" t="str">
        <f>"0,5961"</f>
        <v>0,5961</v>
      </c>
      <c r="F19" s="4" t="s">
        <v>596</v>
      </c>
      <c r="G19" s="7" t="s">
        <v>23</v>
      </c>
      <c r="H19" s="41">
        <v>65</v>
      </c>
      <c r="I19" s="7" t="str">
        <f>"3087,5"</f>
        <v>3087,5</v>
      </c>
      <c r="J19" s="7" t="str">
        <f>"2781,1663"</f>
        <v>2781,1663</v>
      </c>
      <c r="K19" s="4" t="s">
        <v>64</v>
      </c>
    </row>
    <row r="20" spans="1:11" x14ac:dyDescent="0.2">
      <c r="B20" s="5" t="s">
        <v>51</v>
      </c>
    </row>
  </sheetData>
  <mergeCells count="16">
    <mergeCell ref="I3:I4"/>
    <mergeCell ref="J3:J4"/>
    <mergeCell ref="K3:K4"/>
    <mergeCell ref="A5:H5"/>
    <mergeCell ref="A1:K2"/>
    <mergeCell ref="A3:A4"/>
    <mergeCell ref="C3:C4"/>
    <mergeCell ref="D3:D4"/>
    <mergeCell ref="E3:E4"/>
    <mergeCell ref="F3:F4"/>
    <mergeCell ref="A8:H8"/>
    <mergeCell ref="A11:H11"/>
    <mergeCell ref="A14:H14"/>
    <mergeCell ref="A18:H18"/>
    <mergeCell ref="B3:B4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Народный 1 вес ДК</vt:lpstr>
      <vt:lpstr>WRPF Народный 1 вес</vt:lpstr>
      <vt:lpstr>WRPF Народный 1_2 веса ДК</vt:lpstr>
      <vt:lpstr>WRPF Народный 1_2 веса</vt:lpstr>
      <vt:lpstr>WSF Подтягивания мн.повт. 35кг</vt:lpstr>
      <vt:lpstr>WSF Подтягивания мн.повт. 15кг</vt:lpstr>
      <vt:lpstr>WSF Отжимания мн.повт. 50кг</vt:lpstr>
      <vt:lpstr>WSF Отжимания мн.повт. 25кг</vt:lpstr>
      <vt:lpstr>WSF Отжимания мн.повт. 15кг</vt:lpstr>
      <vt:lpstr>WSF Подтягивания мн.повт. 10кг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Pascal Girard</cp:lastModifiedBy>
  <cp:revision/>
  <dcterms:created xsi:type="dcterms:W3CDTF">2002-06-16T13:36:44Z</dcterms:created>
  <dcterms:modified xsi:type="dcterms:W3CDTF">2020-12-27T08:57:31Z</dcterms:modified>
  <cp:category/>
  <cp:contentStatus/>
</cp:coreProperties>
</file>