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40" tabRatio="836" activeTab="3"/>
  </bookViews>
  <sheets>
    <sheet name="WRPF Folk BP 1 bw DT" sheetId="1" r:id="rId1"/>
    <sheet name="WRPF Folk BP 1 bw" sheetId="2" r:id="rId2"/>
    <sheet name="WRPF Folk BP 1|2 bw DT" sheetId="3" r:id="rId3"/>
    <sheet name="WRPF Folk BP 1|2 bw" sheetId="4" r:id="rId4"/>
  </sheets>
  <definedNames/>
  <calcPr fullCalcOnLoad="1"/>
</workbook>
</file>

<file path=xl/sharedStrings.xml><?xml version="1.0" encoding="utf-8"?>
<sst xmlns="http://schemas.openxmlformats.org/spreadsheetml/2006/main" count="546" uniqueCount="263">
  <si>
    <t>Place</t>
  </si>
  <si>
    <t>Name</t>
  </si>
  <si>
    <t>Age Class
DOB/Age</t>
  </si>
  <si>
    <t>Own 
bodyweight</t>
  </si>
  <si>
    <t>Country</t>
  </si>
  <si>
    <t>City</t>
  </si>
  <si>
    <t>Points</t>
  </si>
  <si>
    <t>Coach</t>
  </si>
  <si>
    <t>1</t>
  </si>
  <si>
    <t>Russia</t>
  </si>
  <si>
    <t xml:space="preserve">Tikhvin </t>
  </si>
  <si>
    <t>67,5</t>
  </si>
  <si>
    <t>75,0</t>
  </si>
  <si>
    <t>85,0</t>
  </si>
  <si>
    <t>42,5</t>
  </si>
  <si>
    <t>87,5</t>
  </si>
  <si>
    <t>100,0</t>
  </si>
  <si>
    <t>80,0</t>
  </si>
  <si>
    <t>105,0</t>
  </si>
  <si>
    <t/>
  </si>
  <si>
    <t>97,5</t>
  </si>
  <si>
    <t>WEIGHT CLASS   60</t>
  </si>
  <si>
    <t>90,0</t>
  </si>
  <si>
    <t>60,0</t>
  </si>
  <si>
    <t>122,5</t>
  </si>
  <si>
    <t xml:space="preserve"> </t>
  </si>
  <si>
    <t>2</t>
  </si>
  <si>
    <t>92,5</t>
  </si>
  <si>
    <t>3</t>
  </si>
  <si>
    <t>58,50</t>
  </si>
  <si>
    <t xml:space="preserve">Saint Petersburg </t>
  </si>
  <si>
    <t>WEIGHT CLASS   67.5</t>
  </si>
  <si>
    <t>110,0</t>
  </si>
  <si>
    <t>117,5</t>
  </si>
  <si>
    <t xml:space="preserve">Azerbaijan </t>
  </si>
  <si>
    <t>Bayramov S.</t>
  </si>
  <si>
    <t>82,5</t>
  </si>
  <si>
    <t>WEIGHT CLASS   75</t>
  </si>
  <si>
    <t>74,90</t>
  </si>
  <si>
    <t>74,40</t>
  </si>
  <si>
    <t>4</t>
  </si>
  <si>
    <t>Estonia</t>
  </si>
  <si>
    <t>WEIGHT CLASS   82.5</t>
  </si>
  <si>
    <t>81,90</t>
  </si>
  <si>
    <t>82,20</t>
  </si>
  <si>
    <t>79,50</t>
  </si>
  <si>
    <t>81,80</t>
  </si>
  <si>
    <t xml:space="preserve">Engels </t>
  </si>
  <si>
    <t>WEIGHT CLASS   90</t>
  </si>
  <si>
    <t xml:space="preserve"> Sosnovy Bor</t>
  </si>
  <si>
    <t>Gudkov М.</t>
  </si>
  <si>
    <t>5</t>
  </si>
  <si>
    <t>Makhachkala</t>
  </si>
  <si>
    <t>WEIGHT CLASS   100</t>
  </si>
  <si>
    <t>97,40</t>
  </si>
  <si>
    <t>WEIGHT CLASS   110</t>
  </si>
  <si>
    <t>Isrаpilоv Маgоmеdаmin</t>
  </si>
  <si>
    <t>Masters 40-49 (03.05.1975)/44</t>
  </si>
  <si>
    <t>WEIGHT CLASS   125</t>
  </si>
  <si>
    <t xml:space="preserve">Best Lifters </t>
  </si>
  <si>
    <t xml:space="preserve">Men </t>
  </si>
  <si>
    <t xml:space="preserve">Name </t>
  </si>
  <si>
    <t xml:space="preserve">Age Class </t>
  </si>
  <si>
    <t>Weight class</t>
  </si>
  <si>
    <t>75</t>
  </si>
  <si>
    <t>90</t>
  </si>
  <si>
    <t>82.5</t>
  </si>
  <si>
    <t xml:space="preserve">Open </t>
  </si>
  <si>
    <t>100</t>
  </si>
  <si>
    <t>30,0</t>
  </si>
  <si>
    <t>77,5</t>
  </si>
  <si>
    <t>107,5</t>
  </si>
  <si>
    <t>72,5</t>
  </si>
  <si>
    <t xml:space="preserve">Vyborg </t>
  </si>
  <si>
    <t>96,70</t>
  </si>
  <si>
    <t>66,70</t>
  </si>
  <si>
    <t xml:space="preserve">Moscow </t>
  </si>
  <si>
    <t xml:space="preserve"> Novovoronegh</t>
  </si>
  <si>
    <t xml:space="preserve">Vorkuta </t>
  </si>
  <si>
    <t xml:space="preserve">Irkutsk </t>
  </si>
  <si>
    <t>Baku</t>
  </si>
  <si>
    <t>Ukraine</t>
  </si>
  <si>
    <t>74,00</t>
  </si>
  <si>
    <t>Diu Аndrеiy</t>
  </si>
  <si>
    <t>Open (26.10.1980)/38</t>
  </si>
  <si>
    <t>77,60</t>
  </si>
  <si>
    <t>Open (28.04.1993)/26</t>
  </si>
  <si>
    <t xml:space="preserve">Lipetsk </t>
  </si>
  <si>
    <t>82,50</t>
  </si>
  <si>
    <t>87,40</t>
  </si>
  <si>
    <t xml:space="preserve">Novomoskovsk </t>
  </si>
  <si>
    <t>Sosnovy Bor</t>
  </si>
  <si>
    <t>Diаmаnti Niki</t>
  </si>
  <si>
    <t>Open (14.01.1995)/24</t>
  </si>
  <si>
    <t>Аlmаzоv G.</t>
  </si>
  <si>
    <t>Usоv Viktоr</t>
  </si>
  <si>
    <t>Open (29.09.1989)/29</t>
  </si>
  <si>
    <t xml:space="preserve">Chaykovskiy </t>
  </si>
  <si>
    <t>Bоlshаkоv Vlаdislаv</t>
  </si>
  <si>
    <t>Open (21.05.1990)/28</t>
  </si>
  <si>
    <t>72,00</t>
  </si>
  <si>
    <t>Sychiov Аlеksаndr</t>
  </si>
  <si>
    <t>Open (26.10.1986)/32</t>
  </si>
  <si>
    <t>73,90</t>
  </si>
  <si>
    <t>Аksionоv Pаvеl</t>
  </si>
  <si>
    <t xml:space="preserve">Shenkursk </t>
  </si>
  <si>
    <t>81,20</t>
  </si>
  <si>
    <t>77,30</t>
  </si>
  <si>
    <t>Таldykin Аlеksеiy</t>
  </si>
  <si>
    <t>Open (29.03.1980)/39</t>
  </si>
  <si>
    <t>87,10</t>
  </si>
  <si>
    <t>Маtvееv Vаlеriiy</t>
  </si>
  <si>
    <t>Masters 50-59 (12.06.1960)/58</t>
  </si>
  <si>
    <t>99,40</t>
  </si>
  <si>
    <t>121,30</t>
  </si>
  <si>
    <t>DQ</t>
  </si>
  <si>
    <t>58,40</t>
  </si>
  <si>
    <t>Gаmоlinа Аlеnа</t>
  </si>
  <si>
    <t>Masters 50-59 (17.01.1961)/58</t>
  </si>
  <si>
    <t>70,70</t>
  </si>
  <si>
    <t>Lаriоnоv V.</t>
  </si>
  <si>
    <t>Dаnеlyants Аrtеm</t>
  </si>
  <si>
    <t>Open (01.08.1993)/25</t>
  </si>
  <si>
    <t>80,10</t>
  </si>
  <si>
    <t>Uskоv N.</t>
  </si>
  <si>
    <t>Pliusnin Оlеg</t>
  </si>
  <si>
    <t>Masters 50-59 (22.03.1963)/56</t>
  </si>
  <si>
    <t xml:space="preserve">Syktyvkar </t>
  </si>
  <si>
    <t>Vаsеv А.</t>
  </si>
  <si>
    <t>Мingаzоv Аlеksаndr</t>
  </si>
  <si>
    <t>Open (06.04.1989)/30</t>
  </si>
  <si>
    <t>88,20</t>
  </si>
  <si>
    <t>Vоrоbеv V.</t>
  </si>
  <si>
    <t>Firsоv Ivаn</t>
  </si>
  <si>
    <t>105,00</t>
  </si>
  <si>
    <t xml:space="preserve">Angarsk </t>
  </si>
  <si>
    <t>107,00</t>
  </si>
  <si>
    <t>Kabantseff Andrei</t>
  </si>
  <si>
    <t>Masters 40-49 (20.11.1976)/42</t>
  </si>
  <si>
    <t>Tallinn</t>
  </si>
  <si>
    <t>Мikhаiylоv Аlеksеiy</t>
  </si>
  <si>
    <t>Open (23.07.1986)/32</t>
  </si>
  <si>
    <t>117,20</t>
  </si>
  <si>
    <t>Chubа Dаvid</t>
  </si>
  <si>
    <t>Open (25.09.1985)/33</t>
  </si>
  <si>
    <t>115,20</t>
  </si>
  <si>
    <t xml:space="preserve">Pеrеpеchionоv О. </t>
  </si>
  <si>
    <t>Pоpоv Аlеksаndr</t>
  </si>
  <si>
    <t>Open (14.05.1983)/35</t>
  </si>
  <si>
    <t>120,30</t>
  </si>
  <si>
    <t xml:space="preserve"> Nighnevartovsk</t>
  </si>
  <si>
    <t xml:space="preserve">Fоtin А. </t>
  </si>
  <si>
    <t xml:space="preserve"> Iughno-Sakhalinsk</t>
  </si>
  <si>
    <t xml:space="preserve">  Iughno-Sakhalinsk</t>
  </si>
  <si>
    <t>Gloss</t>
  </si>
  <si>
    <t>Nеbykоv Аlеksеiy</t>
  </si>
  <si>
    <t>Open (19.03.1966)/53</t>
  </si>
  <si>
    <t>81,85</t>
  </si>
  <si>
    <t>Masters 50-59 (19.03.1966)/53</t>
  </si>
  <si>
    <t>Ivаnоv Igоr</t>
  </si>
  <si>
    <t>Open (05.08.1968)/50</t>
  </si>
  <si>
    <t xml:space="preserve">  Sosnovy Bor</t>
  </si>
  <si>
    <t>Masters 50-59 (05.08.1968)/50</t>
  </si>
  <si>
    <t>Sоkоlоv Аlеksеiy</t>
  </si>
  <si>
    <t>Open (10.10.1984)/34</t>
  </si>
  <si>
    <t>91,80</t>
  </si>
  <si>
    <t>Vаsilеv Dmitriiy</t>
  </si>
  <si>
    <t>Open (31.10.1979)/39</t>
  </si>
  <si>
    <t>106,40</t>
  </si>
  <si>
    <t>108,45</t>
  </si>
  <si>
    <t>Vlаdimirоv Маksim</t>
  </si>
  <si>
    <t>Open (25.10.1981)/37</t>
  </si>
  <si>
    <t xml:space="preserve">Gloss </t>
  </si>
  <si>
    <t>Europe Championship
WRPF "Folk" Bench Press (with own bw) Doping Tested
Saint Petersburg, May 10-12, 2019</t>
  </si>
  <si>
    <t>Bench press multi-repeat</t>
  </si>
  <si>
    <t>Tonnage</t>
  </si>
  <si>
    <t>bw</t>
  </si>
  <si>
    <t>repeats</t>
  </si>
  <si>
    <t>Еrshоv Viktоr</t>
  </si>
  <si>
    <t>Masters 50-59 (04.10.1960)/58</t>
  </si>
  <si>
    <t>57,80</t>
  </si>
  <si>
    <t xml:space="preserve">Petrozavodsk </t>
  </si>
  <si>
    <t>Gоgunоv Аntоn</t>
  </si>
  <si>
    <t>Open (03.01.1986)/33</t>
  </si>
  <si>
    <t xml:space="preserve"> Shuya</t>
  </si>
  <si>
    <t>Zеmskiiy Sеrgеiy</t>
  </si>
  <si>
    <t>Open (03.05.1981)/38</t>
  </si>
  <si>
    <t>Teens 13-19 (12.07.1999)/19</t>
  </si>
  <si>
    <t>75,55</t>
  </si>
  <si>
    <t>Теn Vаlеriiy</t>
  </si>
  <si>
    <t>Masters 50-59 (07.10.1962)/56</t>
  </si>
  <si>
    <t>Аndriukhin Sеrgеiy</t>
  </si>
  <si>
    <t>Masters 60+ (08.01.1958)/61</t>
  </si>
  <si>
    <t>86,95</t>
  </si>
  <si>
    <t>Gunchеnkоv Оlеg</t>
  </si>
  <si>
    <t>Open (19.09.1991)/27</t>
  </si>
  <si>
    <t>95,75</t>
  </si>
  <si>
    <t xml:space="preserve">Кisеlеv S. </t>
  </si>
  <si>
    <t>Ivаnоv Аndrеiy</t>
  </si>
  <si>
    <t>Open (18.12.1983)/35</t>
  </si>
  <si>
    <t>104,40</t>
  </si>
  <si>
    <t>Sаpоghnikоv Eduаrd</t>
  </si>
  <si>
    <t>Masters 50-59 (22.11.1967)/51</t>
  </si>
  <si>
    <t>109,65</t>
  </si>
  <si>
    <t>8175,0</t>
  </si>
  <si>
    <t>5634,2099</t>
  </si>
  <si>
    <t>2755,0</t>
  </si>
  <si>
    <t>1956,6010</t>
  </si>
  <si>
    <t>2887,5</t>
  </si>
  <si>
    <t>1796,4581</t>
  </si>
  <si>
    <t>Europe Championship
WRPF "Folk" Bench Press (with own bw)
Saint Petersburg, May 10-12, 2019</t>
  </si>
  <si>
    <t>Оslоpоvskikh Lidiya</t>
  </si>
  <si>
    <t>Open (13.10.1987)/31</t>
  </si>
  <si>
    <t>Vylеgghаnin Аlеksаndr</t>
  </si>
  <si>
    <t>Open (03.03.1987)/32</t>
  </si>
  <si>
    <t xml:space="preserve">  Kudrovo</t>
  </si>
  <si>
    <t>Кrеsеl Sеrgеiy</t>
  </si>
  <si>
    <t>Open (03.08.1980)/38</t>
  </si>
  <si>
    <t xml:space="preserve">  Velikie Luki</t>
  </si>
  <si>
    <t>Drоzdоv А.</t>
  </si>
  <si>
    <t>Ivаshin Коnstаntin</t>
  </si>
  <si>
    <t>Krivoy Rog</t>
  </si>
  <si>
    <t>Shtyrkоv Еvgеniiy</t>
  </si>
  <si>
    <t>Open (14.12.1987)/31</t>
  </si>
  <si>
    <t>77,20</t>
  </si>
  <si>
    <t>Аkimоv I.</t>
  </si>
  <si>
    <t>Gоlоtvyanеts Аlеksеiy</t>
  </si>
  <si>
    <t>Open (09.03.1989)/30</t>
  </si>
  <si>
    <t xml:space="preserve">  Moscow</t>
  </si>
  <si>
    <t>Lоvchikоv Аlеksеiy</t>
  </si>
  <si>
    <t>Open (25.02.1972)/47</t>
  </si>
  <si>
    <t>84,60</t>
  </si>
  <si>
    <t xml:space="preserve"> Novy Urengoy</t>
  </si>
  <si>
    <t>Masters 40-49 (25.02.1972)/47</t>
  </si>
  <si>
    <t>Bоndаrеnkо Iuriiy</t>
  </si>
  <si>
    <t>Junior 20-23 (24.10.1997)/21</t>
  </si>
  <si>
    <t>Маrtynеnkо Аlеksеiy</t>
  </si>
  <si>
    <t>Open (05.08.1987)/31</t>
  </si>
  <si>
    <t xml:space="preserve">Shelekhov </t>
  </si>
  <si>
    <t>Giliov Rоmаn</t>
  </si>
  <si>
    <t>Open (24.10.1987)/31</t>
  </si>
  <si>
    <t>Кrivоbоkоv Мikhаil</t>
  </si>
  <si>
    <t>Open (18.07.1983)/35</t>
  </si>
  <si>
    <t>91,60</t>
  </si>
  <si>
    <t>Aghayev Tural</t>
  </si>
  <si>
    <t>Open (24.05.1982)/36</t>
  </si>
  <si>
    <t>95,90</t>
  </si>
  <si>
    <t>Open (24.12.1996)/22</t>
  </si>
  <si>
    <t>4900,0</t>
  </si>
  <si>
    <t>2855,7199</t>
  </si>
  <si>
    <t>3797,5</t>
  </si>
  <si>
    <t>2558,1860</t>
  </si>
  <si>
    <t>3825,0</t>
  </si>
  <si>
    <t>2426,7713</t>
  </si>
  <si>
    <t>Europe Championship
WRPF "Folk" Bench Press (1/2 of bodyweight) Doping Tested
Saint Petersburg, May 10-12, 2019</t>
  </si>
  <si>
    <t>Кrеslаvskiiy Sеrgеiy</t>
  </si>
  <si>
    <t>Teens 13-19 (04.02.2002)/17</t>
  </si>
  <si>
    <t>Маiyzеl D.</t>
  </si>
  <si>
    <t>Europe Championship
WRPF "Folk" Bench Press (1/2 of bodyweight)
Saint Petersburg, May 10-12, 2019</t>
  </si>
  <si>
    <t>Litvintsеvа Таtyanа</t>
  </si>
  <si>
    <t>Masters 50-59 (21.05.1966)/52</t>
  </si>
  <si>
    <t>Мikhаiylоv А.</t>
  </si>
  <si>
    <t>37,5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</si>
</sst>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2">
      <selection activeCell="A1" sqref="A1:L2"/>
    </sheetView>
  </sheetViews>
  <sheetFormatPr defaultColWidth="9.125" defaultRowHeight="12.75"/>
  <cols>
    <col min="1" max="1" width="7.375" style="6" bestFit="1" customWidth="1"/>
    <col min="2" max="2" width="23.25390625" style="5" bestFit="1" customWidth="1"/>
    <col min="3" max="3" width="28.375" style="5" bestFit="1" customWidth="1"/>
    <col min="4" max="4" width="15.75390625" style="5" customWidth="1"/>
    <col min="5" max="5" width="10.375" style="5" bestFit="1" customWidth="1"/>
    <col min="6" max="6" width="16.375" style="5" customWidth="1"/>
    <col min="7" max="7" width="22.875" style="5" customWidth="1"/>
    <col min="8" max="8" width="10.375" style="6" customWidth="1"/>
    <col min="9" max="9" width="17.375" style="19" customWidth="1"/>
    <col min="10" max="10" width="10.25390625" style="6" customWidth="1"/>
    <col min="11" max="11" width="9.375" style="6" bestFit="1" customWidth="1"/>
    <col min="12" max="12" width="18.25390625" style="5" customWidth="1"/>
    <col min="13" max="16384" width="9.125" style="3" customWidth="1"/>
  </cols>
  <sheetData>
    <row r="1" spans="1:12" s="2" customFormat="1" ht="28.5" customHeight="1">
      <c r="A1" s="31" t="s">
        <v>173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2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s="1" customFormat="1" ht="12.75" customHeight="1">
      <c r="A3" s="38" t="s">
        <v>0</v>
      </c>
      <c r="B3" s="29" t="s">
        <v>1</v>
      </c>
      <c r="C3" s="40" t="s">
        <v>2</v>
      </c>
      <c r="D3" s="40" t="s">
        <v>3</v>
      </c>
      <c r="E3" s="42" t="s">
        <v>154</v>
      </c>
      <c r="F3" s="42" t="s">
        <v>4</v>
      </c>
      <c r="G3" s="42" t="s">
        <v>5</v>
      </c>
      <c r="H3" s="42" t="s">
        <v>174</v>
      </c>
      <c r="I3" s="42"/>
      <c r="J3" s="42" t="s">
        <v>175</v>
      </c>
      <c r="K3" s="42" t="s">
        <v>6</v>
      </c>
      <c r="L3" s="43" t="s">
        <v>7</v>
      </c>
    </row>
    <row r="4" spans="1:12" s="1" customFormat="1" ht="21" customHeight="1" thickBot="1">
      <c r="A4" s="39"/>
      <c r="B4" s="30"/>
      <c r="C4" s="41"/>
      <c r="D4" s="41"/>
      <c r="E4" s="41"/>
      <c r="F4" s="41"/>
      <c r="G4" s="41"/>
      <c r="H4" s="26" t="s">
        <v>176</v>
      </c>
      <c r="I4" s="18" t="s">
        <v>177</v>
      </c>
      <c r="J4" s="41"/>
      <c r="K4" s="41"/>
      <c r="L4" s="44"/>
    </row>
    <row r="5" spans="1:11" ht="15">
      <c r="A5" s="45" t="s">
        <v>21</v>
      </c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2" ht="12.75">
      <c r="A6" s="8" t="s">
        <v>8</v>
      </c>
      <c r="B6" s="7" t="s">
        <v>178</v>
      </c>
      <c r="C6" s="7" t="s">
        <v>179</v>
      </c>
      <c r="D6" s="7" t="s">
        <v>180</v>
      </c>
      <c r="E6" s="7" t="str">
        <f>"0,8641"</f>
        <v>0,8641</v>
      </c>
      <c r="F6" s="7" t="s">
        <v>9</v>
      </c>
      <c r="G6" s="7" t="s">
        <v>181</v>
      </c>
      <c r="H6" s="8" t="s">
        <v>23</v>
      </c>
      <c r="I6" s="20">
        <v>19</v>
      </c>
      <c r="J6" s="8" t="str">
        <f>"1140,0"</f>
        <v>1140,0</v>
      </c>
      <c r="K6" s="8" t="str">
        <f>"1271,8041"</f>
        <v>1271,8041</v>
      </c>
      <c r="L6" s="7" t="s">
        <v>25</v>
      </c>
    </row>
    <row r="7" ht="12.75">
      <c r="B7" s="5" t="s">
        <v>19</v>
      </c>
    </row>
    <row r="8" spans="1:11" ht="15">
      <c r="A8" s="27" t="s">
        <v>31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2" ht="12.75">
      <c r="A9" s="8" t="s">
        <v>8</v>
      </c>
      <c r="B9" s="7" t="s">
        <v>95</v>
      </c>
      <c r="C9" s="7" t="s">
        <v>96</v>
      </c>
      <c r="D9" s="7" t="s">
        <v>75</v>
      </c>
      <c r="E9" s="7" t="str">
        <f>"0,7561"</f>
        <v>0,7561</v>
      </c>
      <c r="F9" s="7" t="s">
        <v>9</v>
      </c>
      <c r="G9" s="7" t="s">
        <v>152</v>
      </c>
      <c r="H9" s="8" t="s">
        <v>11</v>
      </c>
      <c r="I9" s="20">
        <v>24</v>
      </c>
      <c r="J9" s="8" t="str">
        <f>"1620,0"</f>
        <v>1620,0</v>
      </c>
      <c r="K9" s="8" t="str">
        <f>"1224,8820"</f>
        <v>1224,8820</v>
      </c>
      <c r="L9" s="7" t="s">
        <v>25</v>
      </c>
    </row>
    <row r="10" ht="12.75">
      <c r="B10" s="5" t="s">
        <v>19</v>
      </c>
    </row>
    <row r="11" spans="1:11" ht="15">
      <c r="A11" s="27" t="s">
        <v>37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12.75">
      <c r="A12" s="10" t="s">
        <v>8</v>
      </c>
      <c r="B12" s="9" t="s">
        <v>182</v>
      </c>
      <c r="C12" s="9" t="s">
        <v>183</v>
      </c>
      <c r="D12" s="9" t="s">
        <v>38</v>
      </c>
      <c r="E12" s="9" t="str">
        <f>"0,6892"</f>
        <v>0,6892</v>
      </c>
      <c r="F12" s="9" t="s">
        <v>9</v>
      </c>
      <c r="G12" s="9" t="s">
        <v>184</v>
      </c>
      <c r="H12" s="10" t="s">
        <v>12</v>
      </c>
      <c r="I12" s="21">
        <v>109</v>
      </c>
      <c r="J12" s="10" t="str">
        <f>"8175,0"</f>
        <v>8175,0</v>
      </c>
      <c r="K12" s="10" t="str">
        <f>"5634,2099"</f>
        <v>5634,2099</v>
      </c>
      <c r="L12" s="9" t="s">
        <v>25</v>
      </c>
    </row>
    <row r="13" spans="1:12" ht="12.75">
      <c r="A13" s="12" t="s">
        <v>26</v>
      </c>
      <c r="B13" s="11" t="s">
        <v>98</v>
      </c>
      <c r="C13" s="11" t="s">
        <v>99</v>
      </c>
      <c r="D13" s="11" t="s">
        <v>100</v>
      </c>
      <c r="E13" s="11" t="str">
        <f>"0,7102"</f>
        <v>0,7102</v>
      </c>
      <c r="F13" s="11" t="s">
        <v>9</v>
      </c>
      <c r="G13" s="11" t="s">
        <v>30</v>
      </c>
      <c r="H13" s="12" t="s">
        <v>72</v>
      </c>
      <c r="I13" s="22">
        <v>38</v>
      </c>
      <c r="J13" s="12" t="str">
        <f>"2755,0"</f>
        <v>2755,0</v>
      </c>
      <c r="K13" s="12" t="str">
        <f>"1956,6010"</f>
        <v>1956,6010</v>
      </c>
      <c r="L13" s="11" t="s">
        <v>124</v>
      </c>
    </row>
    <row r="14" spans="1:12" ht="12.75">
      <c r="A14" s="12" t="s">
        <v>28</v>
      </c>
      <c r="B14" s="11" t="s">
        <v>101</v>
      </c>
      <c r="C14" s="11" t="s">
        <v>102</v>
      </c>
      <c r="D14" s="11" t="s">
        <v>103</v>
      </c>
      <c r="E14" s="11" t="str">
        <f>"0,6962"</f>
        <v>0,6962</v>
      </c>
      <c r="F14" s="11" t="s">
        <v>9</v>
      </c>
      <c r="G14" s="11" t="s">
        <v>77</v>
      </c>
      <c r="H14" s="12" t="s">
        <v>12</v>
      </c>
      <c r="I14" s="22">
        <v>29</v>
      </c>
      <c r="J14" s="12" t="str">
        <f>"2175,0"</f>
        <v>2175,0</v>
      </c>
      <c r="K14" s="12" t="str">
        <f>"1514,1263"</f>
        <v>1514,1263</v>
      </c>
      <c r="L14" s="11" t="s">
        <v>25</v>
      </c>
    </row>
    <row r="15" spans="1:12" ht="12.75">
      <c r="A15" s="14" t="s">
        <v>40</v>
      </c>
      <c r="B15" s="13" t="s">
        <v>185</v>
      </c>
      <c r="C15" s="13" t="s">
        <v>186</v>
      </c>
      <c r="D15" s="13" t="s">
        <v>39</v>
      </c>
      <c r="E15" s="13" t="str">
        <f>"0,6927"</f>
        <v>0,6927</v>
      </c>
      <c r="F15" s="13" t="s">
        <v>9</v>
      </c>
      <c r="G15" s="13" t="s">
        <v>10</v>
      </c>
      <c r="H15" s="14" t="s">
        <v>12</v>
      </c>
      <c r="I15" s="23">
        <v>26</v>
      </c>
      <c r="J15" s="14" t="str">
        <f>"1950,0"</f>
        <v>1950,0</v>
      </c>
      <c r="K15" s="14" t="str">
        <f>"1350,6675"</f>
        <v>1350,6675</v>
      </c>
      <c r="L15" s="13" t="s">
        <v>25</v>
      </c>
    </row>
    <row r="16" ht="12.75">
      <c r="B16" s="5" t="s">
        <v>19</v>
      </c>
    </row>
    <row r="17" spans="1:11" ht="15">
      <c r="A17" s="27" t="s">
        <v>42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2" ht="12.75">
      <c r="A18" s="10" t="s">
        <v>8</v>
      </c>
      <c r="B18" s="9" t="s">
        <v>104</v>
      </c>
      <c r="C18" s="9" t="s">
        <v>187</v>
      </c>
      <c r="D18" s="9" t="s">
        <v>188</v>
      </c>
      <c r="E18" s="9" t="str">
        <f>"0,6848"</f>
        <v>0,6848</v>
      </c>
      <c r="F18" s="9" t="s">
        <v>9</v>
      </c>
      <c r="G18" s="9" t="s">
        <v>105</v>
      </c>
      <c r="H18" s="10" t="s">
        <v>70</v>
      </c>
      <c r="I18" s="21">
        <v>32</v>
      </c>
      <c r="J18" s="10" t="str">
        <f>"2480,0"</f>
        <v>2480,0</v>
      </c>
      <c r="K18" s="10" t="str">
        <f>"1698,3041"</f>
        <v>1698,3041</v>
      </c>
      <c r="L18" s="9" t="s">
        <v>25</v>
      </c>
    </row>
    <row r="19" spans="1:12" ht="12.75">
      <c r="A19" s="12" t="s">
        <v>8</v>
      </c>
      <c r="B19" s="11" t="s">
        <v>155</v>
      </c>
      <c r="C19" s="11" t="s">
        <v>156</v>
      </c>
      <c r="D19" s="11" t="s">
        <v>157</v>
      </c>
      <c r="E19" s="11" t="str">
        <f>"0,6479"</f>
        <v>0,6479</v>
      </c>
      <c r="F19" s="11" t="s">
        <v>9</v>
      </c>
      <c r="G19" s="11" t="s">
        <v>47</v>
      </c>
      <c r="H19" s="12" t="s">
        <v>36</v>
      </c>
      <c r="I19" s="22">
        <v>33</v>
      </c>
      <c r="J19" s="12" t="str">
        <f>"2722,5"</f>
        <v>2722,5</v>
      </c>
      <c r="K19" s="12" t="str">
        <f>"1763,9759"</f>
        <v>1763,9759</v>
      </c>
      <c r="L19" s="11" t="s">
        <v>25</v>
      </c>
    </row>
    <row r="20" spans="1:12" ht="12.75">
      <c r="A20" s="12" t="s">
        <v>26</v>
      </c>
      <c r="B20" s="11" t="s">
        <v>83</v>
      </c>
      <c r="C20" s="11" t="s">
        <v>84</v>
      </c>
      <c r="D20" s="11" t="s">
        <v>85</v>
      </c>
      <c r="E20" s="11" t="str">
        <f>"0,6718"</f>
        <v>0,6718</v>
      </c>
      <c r="F20" s="11" t="s">
        <v>9</v>
      </c>
      <c r="G20" s="11" t="s">
        <v>30</v>
      </c>
      <c r="H20" s="12" t="s">
        <v>17</v>
      </c>
      <c r="I20" s="22">
        <v>32</v>
      </c>
      <c r="J20" s="12" t="str">
        <f>"2560,0"</f>
        <v>2560,0</v>
      </c>
      <c r="K20" s="12" t="str">
        <f>"1719,8080"</f>
        <v>1719,8080</v>
      </c>
      <c r="L20" s="11" t="s">
        <v>25</v>
      </c>
    </row>
    <row r="21" spans="1:12" ht="12.75">
      <c r="A21" s="12" t="s">
        <v>8</v>
      </c>
      <c r="B21" s="11" t="s">
        <v>155</v>
      </c>
      <c r="C21" s="11" t="s">
        <v>158</v>
      </c>
      <c r="D21" s="11" t="s">
        <v>157</v>
      </c>
      <c r="E21" s="11" t="str">
        <f>"0,6479"</f>
        <v>0,6479</v>
      </c>
      <c r="F21" s="11" t="s">
        <v>9</v>
      </c>
      <c r="G21" s="11" t="s">
        <v>47</v>
      </c>
      <c r="H21" s="12" t="s">
        <v>36</v>
      </c>
      <c r="I21" s="22">
        <v>33</v>
      </c>
      <c r="J21" s="12" t="str">
        <f>"2722,5"</f>
        <v>2722,5</v>
      </c>
      <c r="K21" s="12" t="str">
        <f>"2088,5474"</f>
        <v>2088,5474</v>
      </c>
      <c r="L21" s="11" t="s">
        <v>25</v>
      </c>
    </row>
    <row r="22" spans="1:12" ht="12.75">
      <c r="A22" s="12" t="s">
        <v>26</v>
      </c>
      <c r="B22" s="11" t="s">
        <v>189</v>
      </c>
      <c r="C22" s="11" t="s">
        <v>190</v>
      </c>
      <c r="D22" s="11" t="s">
        <v>45</v>
      </c>
      <c r="E22" s="11" t="str">
        <f>"0,6606"</f>
        <v>0,6606</v>
      </c>
      <c r="F22" s="11" t="s">
        <v>9</v>
      </c>
      <c r="G22" s="11" t="s">
        <v>30</v>
      </c>
      <c r="H22" s="12" t="s">
        <v>17</v>
      </c>
      <c r="I22" s="22">
        <v>29</v>
      </c>
      <c r="J22" s="12" t="str">
        <f>"2320,0"</f>
        <v>2320,0</v>
      </c>
      <c r="K22" s="12" t="str">
        <f>"1909,6097"</f>
        <v>1909,6097</v>
      </c>
      <c r="L22" s="11" t="s">
        <v>25</v>
      </c>
    </row>
    <row r="23" spans="1:12" ht="12.75">
      <c r="A23" s="14" t="s">
        <v>8</v>
      </c>
      <c r="B23" s="13" t="s">
        <v>191</v>
      </c>
      <c r="C23" s="13" t="s">
        <v>192</v>
      </c>
      <c r="D23" s="13" t="s">
        <v>106</v>
      </c>
      <c r="E23" s="13" t="str">
        <f>"0,6513"</f>
        <v>0,6513</v>
      </c>
      <c r="F23" s="13" t="s">
        <v>9</v>
      </c>
      <c r="G23" s="13" t="s">
        <v>76</v>
      </c>
      <c r="H23" s="14" t="s">
        <v>36</v>
      </c>
      <c r="I23" s="23">
        <v>26</v>
      </c>
      <c r="J23" s="14" t="str">
        <f>"2145,0"</f>
        <v>2145,0</v>
      </c>
      <c r="K23" s="14" t="str">
        <f>"1908,3546"</f>
        <v>1908,3546</v>
      </c>
      <c r="L23" s="13" t="s">
        <v>25</v>
      </c>
    </row>
    <row r="24" ht="12.75">
      <c r="B24" s="5" t="s">
        <v>19</v>
      </c>
    </row>
    <row r="25" spans="1:11" ht="15">
      <c r="A25" s="27" t="s">
        <v>48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</row>
    <row r="26" spans="1:12" ht="12.75">
      <c r="A26" s="10" t="s">
        <v>8</v>
      </c>
      <c r="B26" s="9" t="s">
        <v>159</v>
      </c>
      <c r="C26" s="9" t="s">
        <v>160</v>
      </c>
      <c r="D26" s="9" t="s">
        <v>89</v>
      </c>
      <c r="E26" s="9" t="str">
        <f>"0,6222"</f>
        <v>0,6222</v>
      </c>
      <c r="F26" s="9" t="s">
        <v>9</v>
      </c>
      <c r="G26" s="9" t="s">
        <v>91</v>
      </c>
      <c r="H26" s="10" t="s">
        <v>15</v>
      </c>
      <c r="I26" s="21">
        <v>33</v>
      </c>
      <c r="J26" s="10" t="str">
        <f>"2887,5"</f>
        <v>2887,5</v>
      </c>
      <c r="K26" s="10" t="str">
        <f>"1796,4581"</f>
        <v>1796,4581</v>
      </c>
      <c r="L26" s="9" t="s">
        <v>25</v>
      </c>
    </row>
    <row r="27" spans="1:12" ht="12.75">
      <c r="A27" s="12" t="s">
        <v>26</v>
      </c>
      <c r="B27" s="11" t="s">
        <v>108</v>
      </c>
      <c r="C27" s="11" t="s">
        <v>109</v>
      </c>
      <c r="D27" s="11" t="s">
        <v>110</v>
      </c>
      <c r="E27" s="11" t="str">
        <f>"0,6234"</f>
        <v>0,6234</v>
      </c>
      <c r="F27" s="11" t="s">
        <v>9</v>
      </c>
      <c r="G27" s="11" t="s">
        <v>87</v>
      </c>
      <c r="H27" s="12" t="s">
        <v>15</v>
      </c>
      <c r="I27" s="22">
        <v>30</v>
      </c>
      <c r="J27" s="12" t="str">
        <f>"2625,0"</f>
        <v>2625,0</v>
      </c>
      <c r="K27" s="12" t="str">
        <f>"1636,4249"</f>
        <v>1636,4249</v>
      </c>
      <c r="L27" s="11" t="s">
        <v>25</v>
      </c>
    </row>
    <row r="28" spans="1:12" ht="12.75">
      <c r="A28" s="12" t="s">
        <v>8</v>
      </c>
      <c r="B28" s="11" t="s">
        <v>159</v>
      </c>
      <c r="C28" s="11" t="s">
        <v>162</v>
      </c>
      <c r="D28" s="11" t="s">
        <v>89</v>
      </c>
      <c r="E28" s="11" t="str">
        <f>"0,6222"</f>
        <v>0,6222</v>
      </c>
      <c r="F28" s="11" t="s">
        <v>9</v>
      </c>
      <c r="G28" s="11" t="s">
        <v>49</v>
      </c>
      <c r="H28" s="12" t="s">
        <v>15</v>
      </c>
      <c r="I28" s="22">
        <v>33</v>
      </c>
      <c r="J28" s="12" t="str">
        <f>"2887,5"</f>
        <v>2887,5</v>
      </c>
      <c r="K28" s="12" t="str">
        <f>"2029,9977"</f>
        <v>2029,9977</v>
      </c>
      <c r="L28" s="11" t="s">
        <v>25</v>
      </c>
    </row>
    <row r="29" spans="1:12" ht="12.75">
      <c r="A29" s="14" t="s">
        <v>26</v>
      </c>
      <c r="B29" s="13" t="s">
        <v>111</v>
      </c>
      <c r="C29" s="13" t="s">
        <v>112</v>
      </c>
      <c r="D29" s="13" t="s">
        <v>193</v>
      </c>
      <c r="E29" s="13" t="str">
        <f>"0,6241"</f>
        <v>0,6241</v>
      </c>
      <c r="F29" s="13" t="s">
        <v>41</v>
      </c>
      <c r="G29" s="13" t="s">
        <v>139</v>
      </c>
      <c r="H29" s="14" t="s">
        <v>15</v>
      </c>
      <c r="I29" s="23">
        <v>19</v>
      </c>
      <c r="J29" s="14" t="str">
        <f>"1662,5"</f>
        <v>1662,5</v>
      </c>
      <c r="K29" s="14" t="str">
        <f>"1339,3908"</f>
        <v>1339,3908</v>
      </c>
      <c r="L29" s="13" t="s">
        <v>25</v>
      </c>
    </row>
    <row r="30" ht="12.75">
      <c r="B30" s="5" t="s">
        <v>19</v>
      </c>
    </row>
    <row r="31" spans="1:11" ht="15">
      <c r="A31" s="27" t="s">
        <v>53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</row>
    <row r="32" spans="1:12" ht="12.75">
      <c r="A32" s="10" t="s">
        <v>8</v>
      </c>
      <c r="B32" s="9" t="s">
        <v>194</v>
      </c>
      <c r="C32" s="9" t="s">
        <v>195</v>
      </c>
      <c r="D32" s="9" t="s">
        <v>196</v>
      </c>
      <c r="E32" s="9" t="str">
        <f>"0,5927"</f>
        <v>0,5927</v>
      </c>
      <c r="F32" s="9" t="s">
        <v>9</v>
      </c>
      <c r="G32" s="9" t="s">
        <v>30</v>
      </c>
      <c r="H32" s="10" t="s">
        <v>20</v>
      </c>
      <c r="I32" s="21">
        <v>26</v>
      </c>
      <c r="J32" s="10" t="str">
        <f>"2535,0"</f>
        <v>2535,0</v>
      </c>
      <c r="K32" s="10" t="str">
        <f>"1502,4945"</f>
        <v>1502,4945</v>
      </c>
      <c r="L32" s="9" t="s">
        <v>197</v>
      </c>
    </row>
    <row r="33" spans="1:12" ht="12.75">
      <c r="A33" s="24" t="s">
        <v>115</v>
      </c>
      <c r="B33" s="13" t="s">
        <v>163</v>
      </c>
      <c r="C33" s="13" t="s">
        <v>164</v>
      </c>
      <c r="D33" s="13" t="s">
        <v>165</v>
      </c>
      <c r="E33" s="13" t="str">
        <f>"0,6054"</f>
        <v>0,6054</v>
      </c>
      <c r="F33" s="13" t="s">
        <v>9</v>
      </c>
      <c r="G33" s="13" t="s">
        <v>10</v>
      </c>
      <c r="H33" s="14" t="s">
        <v>27</v>
      </c>
      <c r="I33" s="23">
        <v>23</v>
      </c>
      <c r="J33" s="14" t="str">
        <f>"2127,5"</f>
        <v>2127,5</v>
      </c>
      <c r="K33" s="14" t="str">
        <f>"1287,8822"</f>
        <v>1287,8822</v>
      </c>
      <c r="L33" s="13" t="s">
        <v>25</v>
      </c>
    </row>
    <row r="34" ht="12.75">
      <c r="B34" s="5" t="s">
        <v>19</v>
      </c>
    </row>
    <row r="35" spans="1:11" ht="15">
      <c r="A35" s="27" t="s">
        <v>55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</row>
    <row r="36" spans="1:12" ht="12.75">
      <c r="A36" s="10" t="s">
        <v>8</v>
      </c>
      <c r="B36" s="9" t="s">
        <v>166</v>
      </c>
      <c r="C36" s="9" t="s">
        <v>167</v>
      </c>
      <c r="D36" s="9" t="s">
        <v>168</v>
      </c>
      <c r="E36" s="9" t="str">
        <f>"0,5681"</f>
        <v>0,5681</v>
      </c>
      <c r="F36" s="9" t="s">
        <v>9</v>
      </c>
      <c r="G36" s="9" t="s">
        <v>10</v>
      </c>
      <c r="H36" s="10" t="s">
        <v>71</v>
      </c>
      <c r="I36" s="21">
        <v>20</v>
      </c>
      <c r="J36" s="10" t="str">
        <f>"2150,0"</f>
        <v>2150,0</v>
      </c>
      <c r="K36" s="10" t="str">
        <f>"1221,4149"</f>
        <v>1221,4149</v>
      </c>
      <c r="L36" s="9" t="s">
        <v>25</v>
      </c>
    </row>
    <row r="37" spans="1:12" ht="12.75">
      <c r="A37" s="12" t="s">
        <v>26</v>
      </c>
      <c r="B37" s="11" t="s">
        <v>198</v>
      </c>
      <c r="C37" s="11" t="s">
        <v>199</v>
      </c>
      <c r="D37" s="11" t="s">
        <v>200</v>
      </c>
      <c r="E37" s="11" t="str">
        <f>"0,5718"</f>
        <v>0,5718</v>
      </c>
      <c r="F37" s="11" t="s">
        <v>9</v>
      </c>
      <c r="G37" s="11" t="s">
        <v>30</v>
      </c>
      <c r="H37" s="12" t="s">
        <v>18</v>
      </c>
      <c r="I37" s="22">
        <v>13</v>
      </c>
      <c r="J37" s="12" t="str">
        <f>"1365,0"</f>
        <v>1365,0</v>
      </c>
      <c r="K37" s="12" t="str">
        <f>"780,5070"</f>
        <v>780,5070</v>
      </c>
      <c r="L37" s="11" t="s">
        <v>25</v>
      </c>
    </row>
    <row r="38" spans="1:12" ht="12.75">
      <c r="A38" s="12" t="s">
        <v>8</v>
      </c>
      <c r="B38" s="11" t="s">
        <v>56</v>
      </c>
      <c r="C38" s="11" t="s">
        <v>57</v>
      </c>
      <c r="D38" s="11" t="s">
        <v>169</v>
      </c>
      <c r="E38" s="11" t="str">
        <f>"0,5648"</f>
        <v>0,5648</v>
      </c>
      <c r="F38" s="11" t="s">
        <v>9</v>
      </c>
      <c r="G38" s="11" t="s">
        <v>52</v>
      </c>
      <c r="H38" s="12" t="s">
        <v>32</v>
      </c>
      <c r="I38" s="22">
        <v>16</v>
      </c>
      <c r="J38" s="12" t="str">
        <f>"1760,0"</f>
        <v>1760,0</v>
      </c>
      <c r="K38" s="12" t="str">
        <f>"1036,7462"</f>
        <v>1036,7462</v>
      </c>
      <c r="L38" s="11" t="s">
        <v>25</v>
      </c>
    </row>
    <row r="39" spans="1:12" ht="12.75">
      <c r="A39" s="14" t="s">
        <v>8</v>
      </c>
      <c r="B39" s="13" t="s">
        <v>201</v>
      </c>
      <c r="C39" s="13" t="s">
        <v>202</v>
      </c>
      <c r="D39" s="13" t="s">
        <v>203</v>
      </c>
      <c r="E39" s="13" t="str">
        <f>"0,5630"</f>
        <v>0,5630</v>
      </c>
      <c r="F39" s="13" t="s">
        <v>9</v>
      </c>
      <c r="G39" s="13" t="s">
        <v>97</v>
      </c>
      <c r="H39" s="14" t="s">
        <v>32</v>
      </c>
      <c r="I39" s="23">
        <v>17</v>
      </c>
      <c r="J39" s="14" t="str">
        <f>"1870,0"</f>
        <v>1870,0</v>
      </c>
      <c r="K39" s="14" t="str">
        <f>"1207,5731"</f>
        <v>1207,5731</v>
      </c>
      <c r="L39" s="13" t="s">
        <v>25</v>
      </c>
    </row>
    <row r="40" ht="12.75">
      <c r="B40" s="5" t="s">
        <v>19</v>
      </c>
    </row>
    <row r="41" spans="1:11" ht="15">
      <c r="A41" s="27" t="s">
        <v>58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</row>
    <row r="42" spans="1:12" ht="12.75">
      <c r="A42" s="8" t="s">
        <v>8</v>
      </c>
      <c r="B42" s="7" t="s">
        <v>170</v>
      </c>
      <c r="C42" s="7" t="s">
        <v>171</v>
      </c>
      <c r="D42" s="7" t="s">
        <v>114</v>
      </c>
      <c r="E42" s="7" t="str">
        <f>"0,5496"</f>
        <v>0,5496</v>
      </c>
      <c r="F42" s="7" t="s">
        <v>9</v>
      </c>
      <c r="G42" s="7" t="s">
        <v>10</v>
      </c>
      <c r="H42" s="8" t="s">
        <v>24</v>
      </c>
      <c r="I42" s="20">
        <v>20</v>
      </c>
      <c r="J42" s="8" t="str">
        <f>"2450,0"</f>
        <v>2450,0</v>
      </c>
      <c r="K42" s="8" t="str">
        <f>"1346,5200"</f>
        <v>1346,5200</v>
      </c>
      <c r="L42" s="7" t="s">
        <v>25</v>
      </c>
    </row>
    <row r="43" ht="12.75">
      <c r="B43" s="5" t="s">
        <v>19</v>
      </c>
    </row>
    <row r="44" spans="2:6" ht="15">
      <c r="B44" s="5" t="s">
        <v>19</v>
      </c>
      <c r="F44" s="15"/>
    </row>
    <row r="45" ht="12.75">
      <c r="B45" s="5" t="s">
        <v>19</v>
      </c>
    </row>
    <row r="46" spans="2:7" ht="18">
      <c r="B46" s="16" t="s">
        <v>59</v>
      </c>
      <c r="C46" s="16"/>
      <c r="G46" s="3"/>
    </row>
    <row r="47" spans="2:7" ht="15">
      <c r="B47" s="25" t="s">
        <v>60</v>
      </c>
      <c r="C47" s="25"/>
      <c r="G47" s="3"/>
    </row>
    <row r="48" spans="2:7" ht="14.25">
      <c r="B48" s="17"/>
      <c r="C48" s="17" t="s">
        <v>67</v>
      </c>
      <c r="G48" s="3"/>
    </row>
    <row r="49" spans="2:7" ht="15">
      <c r="B49" s="4" t="s">
        <v>61</v>
      </c>
      <c r="C49" s="4" t="s">
        <v>62</v>
      </c>
      <c r="D49" s="4" t="s">
        <v>63</v>
      </c>
      <c r="E49" s="4" t="s">
        <v>175</v>
      </c>
      <c r="F49" s="4" t="s">
        <v>172</v>
      </c>
      <c r="G49" s="3"/>
    </row>
    <row r="50" spans="2:7" ht="12.75">
      <c r="B50" s="5" t="s">
        <v>182</v>
      </c>
      <c r="C50" s="5" t="s">
        <v>67</v>
      </c>
      <c r="D50" s="6" t="s">
        <v>64</v>
      </c>
      <c r="E50" s="6" t="s">
        <v>204</v>
      </c>
      <c r="F50" s="6" t="s">
        <v>205</v>
      </c>
      <c r="G50" s="3"/>
    </row>
    <row r="51" spans="2:7" ht="12.75">
      <c r="B51" s="5" t="s">
        <v>98</v>
      </c>
      <c r="C51" s="5" t="s">
        <v>67</v>
      </c>
      <c r="D51" s="6" t="s">
        <v>64</v>
      </c>
      <c r="E51" s="6" t="s">
        <v>206</v>
      </c>
      <c r="F51" s="6" t="s">
        <v>207</v>
      </c>
      <c r="G51" s="3"/>
    </row>
    <row r="52" spans="2:7" ht="12.75">
      <c r="B52" s="5" t="s">
        <v>159</v>
      </c>
      <c r="C52" s="5" t="s">
        <v>67</v>
      </c>
      <c r="D52" s="6" t="s">
        <v>65</v>
      </c>
      <c r="E52" s="6" t="s">
        <v>208</v>
      </c>
      <c r="F52" s="6" t="s">
        <v>209</v>
      </c>
      <c r="G52" s="3"/>
    </row>
  </sheetData>
  <sheetProtection/>
  <mergeCells count="20">
    <mergeCell ref="K3:K4"/>
    <mergeCell ref="L3:L4"/>
    <mergeCell ref="A5:K5"/>
    <mergeCell ref="A1:L2"/>
    <mergeCell ref="A3:A4"/>
    <mergeCell ref="C3:C4"/>
    <mergeCell ref="D3:D4"/>
    <mergeCell ref="E3:E4"/>
    <mergeCell ref="F3:F4"/>
    <mergeCell ref="G3:G4"/>
    <mergeCell ref="H3:I3"/>
    <mergeCell ref="B3:B4"/>
    <mergeCell ref="J3:J4"/>
    <mergeCell ref="A17:K17"/>
    <mergeCell ref="A25:K25"/>
    <mergeCell ref="A31:K31"/>
    <mergeCell ref="A35:K35"/>
    <mergeCell ref="A41:K41"/>
    <mergeCell ref="A8:K8"/>
    <mergeCell ref="A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C12">
      <selection activeCell="H3" sqref="H3:J4"/>
    </sheetView>
  </sheetViews>
  <sheetFormatPr defaultColWidth="9.125" defaultRowHeight="12.75"/>
  <cols>
    <col min="1" max="1" width="7.375" style="6" bestFit="1" customWidth="1"/>
    <col min="2" max="2" width="23.25390625" style="5" bestFit="1" customWidth="1"/>
    <col min="3" max="3" width="28.375" style="5" bestFit="1" customWidth="1"/>
    <col min="4" max="4" width="15.875" style="5" customWidth="1"/>
    <col min="5" max="5" width="10.375" style="5" bestFit="1" customWidth="1"/>
    <col min="6" max="6" width="18.125" style="5" customWidth="1"/>
    <col min="7" max="7" width="23.125" style="5" customWidth="1"/>
    <col min="8" max="8" width="10.375" style="6" customWidth="1"/>
    <col min="9" max="9" width="18.00390625" style="19" customWidth="1"/>
    <col min="10" max="10" width="8.875" style="6" bestFit="1" customWidth="1"/>
    <col min="11" max="11" width="9.375" style="6" bestFit="1" customWidth="1"/>
    <col min="12" max="12" width="25.375" style="5" customWidth="1"/>
    <col min="13" max="16384" width="9.125" style="3" customWidth="1"/>
  </cols>
  <sheetData>
    <row r="1" spans="1:12" s="2" customFormat="1" ht="28.5" customHeight="1">
      <c r="A1" s="31" t="s">
        <v>210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2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s="1" customFormat="1" ht="12.75" customHeight="1">
      <c r="A3" s="38" t="s">
        <v>0</v>
      </c>
      <c r="B3" s="29" t="s">
        <v>1</v>
      </c>
      <c r="C3" s="40" t="s">
        <v>2</v>
      </c>
      <c r="D3" s="40" t="s">
        <v>3</v>
      </c>
      <c r="E3" s="42" t="s">
        <v>154</v>
      </c>
      <c r="F3" s="42" t="s">
        <v>4</v>
      </c>
      <c r="G3" s="42" t="s">
        <v>5</v>
      </c>
      <c r="H3" s="42" t="s">
        <v>174</v>
      </c>
      <c r="I3" s="42"/>
      <c r="J3" s="42" t="s">
        <v>175</v>
      </c>
      <c r="K3" s="42" t="s">
        <v>6</v>
      </c>
      <c r="L3" s="43" t="s">
        <v>7</v>
      </c>
    </row>
    <row r="4" spans="1:12" s="1" customFormat="1" ht="21" customHeight="1" thickBot="1">
      <c r="A4" s="39"/>
      <c r="B4" s="30"/>
      <c r="C4" s="41"/>
      <c r="D4" s="41"/>
      <c r="E4" s="41"/>
      <c r="F4" s="41"/>
      <c r="G4" s="41"/>
      <c r="H4" s="26" t="s">
        <v>176</v>
      </c>
      <c r="I4" s="18" t="s">
        <v>177</v>
      </c>
      <c r="J4" s="41"/>
      <c r="K4" s="41"/>
      <c r="L4" s="44"/>
    </row>
    <row r="5" spans="1:11" ht="15">
      <c r="A5" s="45" t="s">
        <v>37</v>
      </c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2" ht="12.75">
      <c r="A6" s="8" t="s">
        <v>8</v>
      </c>
      <c r="B6" s="7" t="s">
        <v>211</v>
      </c>
      <c r="C6" s="7" t="s">
        <v>212</v>
      </c>
      <c r="D6" s="7" t="s">
        <v>82</v>
      </c>
      <c r="E6" s="7" t="str">
        <f>"0,8436"</f>
        <v>0,8436</v>
      </c>
      <c r="F6" s="7" t="s">
        <v>9</v>
      </c>
      <c r="G6" s="7" t="s">
        <v>30</v>
      </c>
      <c r="H6" s="8" t="s">
        <v>12</v>
      </c>
      <c r="I6" s="20">
        <v>24</v>
      </c>
      <c r="J6" s="8" t="str">
        <f>"1800,0"</f>
        <v>1800,0</v>
      </c>
      <c r="K6" s="8" t="str">
        <f>"1518,5700"</f>
        <v>1518,5700</v>
      </c>
      <c r="L6" s="7" t="s">
        <v>25</v>
      </c>
    </row>
    <row r="7" ht="12.75">
      <c r="B7" s="5" t="s">
        <v>19</v>
      </c>
    </row>
    <row r="8" spans="1:11" ht="15">
      <c r="A8" s="27" t="s">
        <v>31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2" ht="12.75">
      <c r="A9" s="8" t="s">
        <v>8</v>
      </c>
      <c r="B9" s="7" t="s">
        <v>95</v>
      </c>
      <c r="C9" s="7" t="s">
        <v>96</v>
      </c>
      <c r="D9" s="7" t="s">
        <v>75</v>
      </c>
      <c r="E9" s="7" t="str">
        <f>"0,7561"</f>
        <v>0,7561</v>
      </c>
      <c r="F9" s="7" t="s">
        <v>9</v>
      </c>
      <c r="G9" s="7" t="s">
        <v>153</v>
      </c>
      <c r="H9" s="8" t="s">
        <v>11</v>
      </c>
      <c r="I9" s="20">
        <v>24</v>
      </c>
      <c r="J9" s="8" t="str">
        <f>"1620,0"</f>
        <v>1620,0</v>
      </c>
      <c r="K9" s="8" t="str">
        <f>"1224,8820"</f>
        <v>1224,8820</v>
      </c>
      <c r="L9" s="7" t="s">
        <v>25</v>
      </c>
    </row>
    <row r="10" ht="12.75">
      <c r="B10" s="5" t="s">
        <v>19</v>
      </c>
    </row>
    <row r="11" spans="1:11" ht="15">
      <c r="A11" s="27" t="s">
        <v>37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12.75">
      <c r="A12" s="8" t="s">
        <v>8</v>
      </c>
      <c r="B12" s="7" t="s">
        <v>213</v>
      </c>
      <c r="C12" s="7" t="s">
        <v>214</v>
      </c>
      <c r="D12" s="7" t="s">
        <v>103</v>
      </c>
      <c r="E12" s="7" t="str">
        <f>"0,6962"</f>
        <v>0,6962</v>
      </c>
      <c r="F12" s="7" t="s">
        <v>9</v>
      </c>
      <c r="G12" s="7" t="s">
        <v>215</v>
      </c>
      <c r="H12" s="8" t="s">
        <v>12</v>
      </c>
      <c r="I12" s="20">
        <v>29</v>
      </c>
      <c r="J12" s="8" t="str">
        <f>"2175,0"</f>
        <v>2175,0</v>
      </c>
      <c r="K12" s="8" t="str">
        <f>"1514,1263"</f>
        <v>1514,1263</v>
      </c>
      <c r="L12" s="7" t="s">
        <v>25</v>
      </c>
    </row>
    <row r="13" ht="12.75">
      <c r="B13" s="5" t="s">
        <v>19</v>
      </c>
    </row>
    <row r="14" spans="1:11" ht="15">
      <c r="A14" s="27" t="s">
        <v>42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2" ht="12.75">
      <c r="A15" s="10" t="s">
        <v>8</v>
      </c>
      <c r="B15" s="9" t="s">
        <v>216</v>
      </c>
      <c r="C15" s="9" t="s">
        <v>217</v>
      </c>
      <c r="D15" s="9" t="s">
        <v>107</v>
      </c>
      <c r="E15" s="9" t="str">
        <f>"0,6737"</f>
        <v>0,6737</v>
      </c>
      <c r="F15" s="9" t="s">
        <v>9</v>
      </c>
      <c r="G15" s="9" t="s">
        <v>30</v>
      </c>
      <c r="H15" s="10" t="s">
        <v>70</v>
      </c>
      <c r="I15" s="21">
        <v>49</v>
      </c>
      <c r="J15" s="10" t="str">
        <f>"3797,5"</f>
        <v>3797,5</v>
      </c>
      <c r="K15" s="10" t="str">
        <f>"2558,1860"</f>
        <v>2558,1860</v>
      </c>
      <c r="L15" s="9" t="s">
        <v>25</v>
      </c>
    </row>
    <row r="16" spans="1:12" ht="12.75">
      <c r="A16" s="12" t="s">
        <v>26</v>
      </c>
      <c r="B16" s="11" t="s">
        <v>121</v>
      </c>
      <c r="C16" s="11" t="s">
        <v>122</v>
      </c>
      <c r="D16" s="11" t="s">
        <v>123</v>
      </c>
      <c r="E16" s="11" t="str">
        <f>"0,6573"</f>
        <v>0,6573</v>
      </c>
      <c r="F16" s="11" t="s">
        <v>9</v>
      </c>
      <c r="G16" s="11" t="s">
        <v>218</v>
      </c>
      <c r="H16" s="12" t="s">
        <v>36</v>
      </c>
      <c r="I16" s="22">
        <v>43</v>
      </c>
      <c r="J16" s="12" t="str">
        <f>"3547,5"</f>
        <v>3547,5</v>
      </c>
      <c r="K16" s="12" t="str">
        <f>"2331,7717"</f>
        <v>2331,7717</v>
      </c>
      <c r="L16" s="11" t="s">
        <v>219</v>
      </c>
    </row>
    <row r="17" spans="1:12" ht="12.75">
      <c r="A17" s="12" t="s">
        <v>28</v>
      </c>
      <c r="B17" s="11" t="s">
        <v>220</v>
      </c>
      <c r="C17" s="11" t="s">
        <v>86</v>
      </c>
      <c r="D17" s="11" t="s">
        <v>44</v>
      </c>
      <c r="E17" s="11" t="str">
        <f>"0,6461"</f>
        <v>0,6461</v>
      </c>
      <c r="F17" s="11" t="s">
        <v>81</v>
      </c>
      <c r="G17" s="11" t="s">
        <v>221</v>
      </c>
      <c r="H17" s="12" t="s">
        <v>36</v>
      </c>
      <c r="I17" s="22">
        <v>37</v>
      </c>
      <c r="J17" s="12" t="str">
        <f>"3052,5"</f>
        <v>3052,5</v>
      </c>
      <c r="K17" s="12" t="str">
        <f>"1972,3729"</f>
        <v>1972,3729</v>
      </c>
      <c r="L17" s="11" t="s">
        <v>25</v>
      </c>
    </row>
    <row r="18" spans="1:12" ht="12.75">
      <c r="A18" s="12" t="s">
        <v>40</v>
      </c>
      <c r="B18" s="11" t="s">
        <v>222</v>
      </c>
      <c r="C18" s="11" t="s">
        <v>223</v>
      </c>
      <c r="D18" s="11" t="s">
        <v>224</v>
      </c>
      <c r="E18" s="11" t="str">
        <f>"0,6743"</f>
        <v>0,6743</v>
      </c>
      <c r="F18" s="11" t="s">
        <v>9</v>
      </c>
      <c r="G18" s="11" t="s">
        <v>90</v>
      </c>
      <c r="H18" s="12" t="s">
        <v>70</v>
      </c>
      <c r="I18" s="22">
        <v>36</v>
      </c>
      <c r="J18" s="12" t="str">
        <f>"2790,0"</f>
        <v>2790,0</v>
      </c>
      <c r="K18" s="12" t="str">
        <f>"1881,1575"</f>
        <v>1881,1575</v>
      </c>
      <c r="L18" s="11" t="s">
        <v>225</v>
      </c>
    </row>
    <row r="19" spans="1:12" ht="12.75">
      <c r="A19" s="12" t="s">
        <v>51</v>
      </c>
      <c r="B19" s="11" t="s">
        <v>226</v>
      </c>
      <c r="C19" s="11" t="s">
        <v>227</v>
      </c>
      <c r="D19" s="11" t="s">
        <v>43</v>
      </c>
      <c r="E19" s="11" t="str">
        <f>"0,6477"</f>
        <v>0,6477</v>
      </c>
      <c r="F19" s="11" t="s">
        <v>9</v>
      </c>
      <c r="G19" s="11" t="s">
        <v>228</v>
      </c>
      <c r="H19" s="12" t="s">
        <v>36</v>
      </c>
      <c r="I19" s="22">
        <v>30</v>
      </c>
      <c r="J19" s="12" t="str">
        <f>"2475,0"</f>
        <v>2475,0</v>
      </c>
      <c r="K19" s="12" t="str">
        <f>"1602,9338"</f>
        <v>1602,9338</v>
      </c>
      <c r="L19" s="11" t="s">
        <v>25</v>
      </c>
    </row>
    <row r="20" spans="1:12" ht="12.75">
      <c r="A20" s="14" t="s">
        <v>8</v>
      </c>
      <c r="B20" s="13" t="s">
        <v>125</v>
      </c>
      <c r="C20" s="13" t="s">
        <v>126</v>
      </c>
      <c r="D20" s="13" t="s">
        <v>46</v>
      </c>
      <c r="E20" s="13" t="str">
        <f>"0,6482"</f>
        <v>0,6482</v>
      </c>
      <c r="F20" s="13" t="s">
        <v>9</v>
      </c>
      <c r="G20" s="13" t="s">
        <v>127</v>
      </c>
      <c r="H20" s="14" t="s">
        <v>36</v>
      </c>
      <c r="I20" s="23">
        <v>27</v>
      </c>
      <c r="J20" s="14" t="str">
        <f>"2227,5"</f>
        <v>2227,5</v>
      </c>
      <c r="K20" s="14" t="str">
        <f>"1799,0563"</f>
        <v>1799,0563</v>
      </c>
      <c r="L20" s="13" t="s">
        <v>128</v>
      </c>
    </row>
    <row r="21" ht="12.75">
      <c r="B21" s="5" t="s">
        <v>19</v>
      </c>
    </row>
    <row r="22" spans="1:11" ht="15">
      <c r="A22" s="27" t="s">
        <v>48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</row>
    <row r="23" spans="1:12" ht="12.75">
      <c r="A23" s="10" t="s">
        <v>8</v>
      </c>
      <c r="B23" s="9" t="s">
        <v>229</v>
      </c>
      <c r="C23" s="9" t="s">
        <v>230</v>
      </c>
      <c r="D23" s="9" t="s">
        <v>231</v>
      </c>
      <c r="E23" s="9" t="str">
        <f>"0,6345"</f>
        <v>0,6345</v>
      </c>
      <c r="F23" s="9" t="s">
        <v>9</v>
      </c>
      <c r="G23" s="9" t="s">
        <v>73</v>
      </c>
      <c r="H23" s="10" t="s">
        <v>13</v>
      </c>
      <c r="I23" s="21">
        <v>45</v>
      </c>
      <c r="J23" s="10" t="str">
        <f>"3825,0"</f>
        <v>3825,0</v>
      </c>
      <c r="K23" s="10" t="str">
        <f>"2426,7713"</f>
        <v>2426,7713</v>
      </c>
      <c r="L23" s="9" t="s">
        <v>25</v>
      </c>
    </row>
    <row r="24" spans="1:12" ht="12.75">
      <c r="A24" s="12" t="s">
        <v>26</v>
      </c>
      <c r="B24" s="11" t="s">
        <v>129</v>
      </c>
      <c r="C24" s="11" t="s">
        <v>130</v>
      </c>
      <c r="D24" s="11" t="s">
        <v>131</v>
      </c>
      <c r="E24" s="11" t="str">
        <f>"0,6188"</f>
        <v>0,6188</v>
      </c>
      <c r="F24" s="11" t="s">
        <v>9</v>
      </c>
      <c r="G24" s="11" t="s">
        <v>232</v>
      </c>
      <c r="H24" s="12" t="s">
        <v>22</v>
      </c>
      <c r="I24" s="22">
        <v>33</v>
      </c>
      <c r="J24" s="12" t="str">
        <f>"2970,0"</f>
        <v>2970,0</v>
      </c>
      <c r="K24" s="12" t="str">
        <f>"1837,9845"</f>
        <v>1837,9845</v>
      </c>
      <c r="L24" s="11" t="s">
        <v>132</v>
      </c>
    </row>
    <row r="25" spans="1:12" ht="12.75">
      <c r="A25" s="14" t="s">
        <v>8</v>
      </c>
      <c r="B25" s="13" t="s">
        <v>229</v>
      </c>
      <c r="C25" s="13" t="s">
        <v>233</v>
      </c>
      <c r="D25" s="13" t="s">
        <v>231</v>
      </c>
      <c r="E25" s="13" t="str">
        <f>"0,6345"</f>
        <v>0,6345</v>
      </c>
      <c r="F25" s="13" t="s">
        <v>9</v>
      </c>
      <c r="G25" s="13" t="s">
        <v>73</v>
      </c>
      <c r="H25" s="14" t="s">
        <v>13</v>
      </c>
      <c r="I25" s="23">
        <v>45</v>
      </c>
      <c r="J25" s="14" t="str">
        <f>"3825,0"</f>
        <v>3825,0</v>
      </c>
      <c r="K25" s="14" t="str">
        <f>"2625,7666"</f>
        <v>2625,7666</v>
      </c>
      <c r="L25" s="13" t="s">
        <v>25</v>
      </c>
    </row>
    <row r="26" ht="12.75">
      <c r="B26" s="5" t="s">
        <v>19</v>
      </c>
    </row>
    <row r="27" spans="1:11" ht="15">
      <c r="A27" s="27" t="s">
        <v>53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</row>
    <row r="28" spans="1:12" ht="12.75">
      <c r="A28" s="10" t="s">
        <v>8</v>
      </c>
      <c r="B28" s="9" t="s">
        <v>234</v>
      </c>
      <c r="C28" s="9" t="s">
        <v>235</v>
      </c>
      <c r="D28" s="9" t="s">
        <v>54</v>
      </c>
      <c r="E28" s="9" t="str">
        <f>"0,5880"</f>
        <v>0,5880</v>
      </c>
      <c r="F28" s="9" t="s">
        <v>9</v>
      </c>
      <c r="G28" s="9" t="s">
        <v>47</v>
      </c>
      <c r="H28" s="10" t="s">
        <v>20</v>
      </c>
      <c r="I28" s="21">
        <v>17</v>
      </c>
      <c r="J28" s="10" t="str">
        <f>"1657,5"</f>
        <v>1657,5</v>
      </c>
      <c r="K28" s="10" t="str">
        <f>"974,6100"</f>
        <v>974,6100</v>
      </c>
      <c r="L28" s="9" t="s">
        <v>25</v>
      </c>
    </row>
    <row r="29" spans="1:12" ht="12.75">
      <c r="A29" s="12" t="s">
        <v>8</v>
      </c>
      <c r="B29" s="11" t="s">
        <v>236</v>
      </c>
      <c r="C29" s="11" t="s">
        <v>237</v>
      </c>
      <c r="D29" s="11" t="s">
        <v>113</v>
      </c>
      <c r="E29" s="11" t="str">
        <f>"0,5828"</f>
        <v>0,5828</v>
      </c>
      <c r="F29" s="11" t="s">
        <v>9</v>
      </c>
      <c r="G29" s="11" t="s">
        <v>238</v>
      </c>
      <c r="H29" s="12" t="s">
        <v>16</v>
      </c>
      <c r="I29" s="22">
        <v>49</v>
      </c>
      <c r="J29" s="12" t="str">
        <f>"4900,0"</f>
        <v>4900,0</v>
      </c>
      <c r="K29" s="12" t="str">
        <f>"2855,7199"</f>
        <v>2855,7199</v>
      </c>
      <c r="L29" s="11" t="s">
        <v>25</v>
      </c>
    </row>
    <row r="30" spans="1:12" ht="12.75">
      <c r="A30" s="12" t="s">
        <v>26</v>
      </c>
      <c r="B30" s="11" t="s">
        <v>239</v>
      </c>
      <c r="C30" s="11" t="s">
        <v>240</v>
      </c>
      <c r="D30" s="11" t="s">
        <v>74</v>
      </c>
      <c r="E30" s="11" t="str">
        <f>"0,5900"</f>
        <v>0,5900</v>
      </c>
      <c r="F30" s="11" t="s">
        <v>9</v>
      </c>
      <c r="G30" s="11" t="s">
        <v>79</v>
      </c>
      <c r="H30" s="12" t="s">
        <v>20</v>
      </c>
      <c r="I30" s="22">
        <v>38</v>
      </c>
      <c r="J30" s="12" t="str">
        <f>"3705,0"</f>
        <v>3705,0</v>
      </c>
      <c r="K30" s="12" t="str">
        <f>"2185,7648"</f>
        <v>2185,7648</v>
      </c>
      <c r="L30" s="11" t="s">
        <v>25</v>
      </c>
    </row>
    <row r="31" spans="1:12" ht="12.75">
      <c r="A31" s="12" t="s">
        <v>28</v>
      </c>
      <c r="B31" s="11" t="s">
        <v>241</v>
      </c>
      <c r="C31" s="11" t="s">
        <v>242</v>
      </c>
      <c r="D31" s="11" t="s">
        <v>243</v>
      </c>
      <c r="E31" s="11" t="str">
        <f>"0,6061"</f>
        <v>0,6061</v>
      </c>
      <c r="F31" s="11" t="s">
        <v>9</v>
      </c>
      <c r="G31" s="11" t="s">
        <v>161</v>
      </c>
      <c r="H31" s="12" t="s">
        <v>27</v>
      </c>
      <c r="I31" s="22">
        <v>30</v>
      </c>
      <c r="J31" s="12" t="str">
        <f>"2775,0"</f>
        <v>2775,0</v>
      </c>
      <c r="K31" s="12" t="str">
        <f>"1681,7888"</f>
        <v>1681,7888</v>
      </c>
      <c r="L31" s="11" t="s">
        <v>50</v>
      </c>
    </row>
    <row r="32" spans="1:12" ht="12.75">
      <c r="A32" s="14" t="s">
        <v>40</v>
      </c>
      <c r="B32" s="13" t="s">
        <v>244</v>
      </c>
      <c r="C32" s="13" t="s">
        <v>245</v>
      </c>
      <c r="D32" s="13" t="s">
        <v>246</v>
      </c>
      <c r="E32" s="13" t="str">
        <f>"0,5922"</f>
        <v>0,5922</v>
      </c>
      <c r="F32" s="13" t="s">
        <v>34</v>
      </c>
      <c r="G32" s="13" t="s">
        <v>80</v>
      </c>
      <c r="H32" s="14" t="s">
        <v>20</v>
      </c>
      <c r="I32" s="23">
        <v>16</v>
      </c>
      <c r="J32" s="14" t="str">
        <f>"1560,0"</f>
        <v>1560,0</v>
      </c>
      <c r="K32" s="14" t="str">
        <f>"923,9100"</f>
        <v>923,9100</v>
      </c>
      <c r="L32" s="13" t="s">
        <v>35</v>
      </c>
    </row>
    <row r="33" ht="12.75">
      <c r="B33" s="5" t="s">
        <v>19</v>
      </c>
    </row>
    <row r="34" spans="1:11" ht="15">
      <c r="A34" s="27" t="s">
        <v>55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</row>
    <row r="35" spans="1:12" ht="12.75">
      <c r="A35" s="10" t="s">
        <v>8</v>
      </c>
      <c r="B35" s="9" t="s">
        <v>133</v>
      </c>
      <c r="C35" s="9" t="s">
        <v>247</v>
      </c>
      <c r="D35" s="9" t="s">
        <v>134</v>
      </c>
      <c r="E35" s="9" t="str">
        <f>"0,5706"</f>
        <v>0,5706</v>
      </c>
      <c r="F35" s="9" t="s">
        <v>9</v>
      </c>
      <c r="G35" s="9" t="s">
        <v>135</v>
      </c>
      <c r="H35" s="10" t="s">
        <v>18</v>
      </c>
      <c r="I35" s="21">
        <v>22</v>
      </c>
      <c r="J35" s="10" t="str">
        <f>"2310,0"</f>
        <v>2310,0</v>
      </c>
      <c r="K35" s="10" t="str">
        <f>"1318,2015"</f>
        <v>1318,2015</v>
      </c>
      <c r="L35" s="9" t="s">
        <v>25</v>
      </c>
    </row>
    <row r="36" spans="1:12" ht="12.75">
      <c r="A36" s="12" t="s">
        <v>8</v>
      </c>
      <c r="B36" s="11" t="s">
        <v>56</v>
      </c>
      <c r="C36" s="11" t="s">
        <v>57</v>
      </c>
      <c r="D36" s="11" t="s">
        <v>169</v>
      </c>
      <c r="E36" s="11" t="str">
        <f>"0,5648"</f>
        <v>0,5648</v>
      </c>
      <c r="F36" s="11" t="s">
        <v>9</v>
      </c>
      <c r="G36" s="11" t="s">
        <v>52</v>
      </c>
      <c r="H36" s="12" t="s">
        <v>32</v>
      </c>
      <c r="I36" s="22">
        <v>16</v>
      </c>
      <c r="J36" s="12" t="str">
        <f>"1760,0"</f>
        <v>1760,0</v>
      </c>
      <c r="K36" s="12" t="str">
        <f>"1036,7462"</f>
        <v>1036,7462</v>
      </c>
      <c r="L36" s="11" t="s">
        <v>25</v>
      </c>
    </row>
    <row r="37" spans="1:12" ht="12.75">
      <c r="A37" s="14" t="s">
        <v>26</v>
      </c>
      <c r="B37" s="13" t="s">
        <v>137</v>
      </c>
      <c r="C37" s="13" t="s">
        <v>138</v>
      </c>
      <c r="D37" s="13" t="s">
        <v>136</v>
      </c>
      <c r="E37" s="13" t="str">
        <f>"0,5671"</f>
        <v>0,5671</v>
      </c>
      <c r="F37" s="13" t="s">
        <v>41</v>
      </c>
      <c r="G37" s="13" t="s">
        <v>139</v>
      </c>
      <c r="H37" s="14" t="s">
        <v>71</v>
      </c>
      <c r="I37" s="23">
        <v>14</v>
      </c>
      <c r="J37" s="14" t="str">
        <f>"1505,0"</f>
        <v>1505,0</v>
      </c>
      <c r="K37" s="14" t="str">
        <f>"870,5552"</f>
        <v>870,5552</v>
      </c>
      <c r="L37" s="13" t="s">
        <v>25</v>
      </c>
    </row>
    <row r="38" ht="12.75">
      <c r="B38" s="5" t="s">
        <v>19</v>
      </c>
    </row>
    <row r="39" spans="1:11" ht="15">
      <c r="A39" s="27" t="s">
        <v>58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</row>
    <row r="40" spans="1:12" ht="12.75">
      <c r="A40" s="10" t="s">
        <v>8</v>
      </c>
      <c r="B40" s="9" t="s">
        <v>140</v>
      </c>
      <c r="C40" s="9" t="s">
        <v>141</v>
      </c>
      <c r="D40" s="9" t="s">
        <v>142</v>
      </c>
      <c r="E40" s="9" t="str">
        <f>"0,5538"</f>
        <v>0,5538</v>
      </c>
      <c r="F40" s="9" t="s">
        <v>9</v>
      </c>
      <c r="G40" s="9" t="s">
        <v>30</v>
      </c>
      <c r="H40" s="10" t="s">
        <v>33</v>
      </c>
      <c r="I40" s="21">
        <v>26</v>
      </c>
      <c r="J40" s="10" t="str">
        <f>"3055,0"</f>
        <v>3055,0</v>
      </c>
      <c r="K40" s="10" t="str">
        <f>"1692,0117"</f>
        <v>1692,0117</v>
      </c>
      <c r="L40" s="9" t="s">
        <v>25</v>
      </c>
    </row>
    <row r="41" spans="1:12" ht="12.75">
      <c r="A41" s="12" t="s">
        <v>26</v>
      </c>
      <c r="B41" s="11" t="s">
        <v>147</v>
      </c>
      <c r="C41" s="11" t="s">
        <v>148</v>
      </c>
      <c r="D41" s="11" t="s">
        <v>149</v>
      </c>
      <c r="E41" s="11" t="str">
        <f>"0,5507"</f>
        <v>0,5507</v>
      </c>
      <c r="F41" s="11" t="s">
        <v>9</v>
      </c>
      <c r="G41" s="11" t="s">
        <v>150</v>
      </c>
      <c r="H41" s="12" t="s">
        <v>24</v>
      </c>
      <c r="I41" s="22">
        <v>25</v>
      </c>
      <c r="J41" s="12" t="str">
        <f>"3062,5"</f>
        <v>3062,5</v>
      </c>
      <c r="K41" s="12" t="str">
        <f>"1686,3656"</f>
        <v>1686,3656</v>
      </c>
      <c r="L41" s="11" t="s">
        <v>151</v>
      </c>
    </row>
    <row r="42" spans="1:12" ht="12.75">
      <c r="A42" s="14" t="s">
        <v>28</v>
      </c>
      <c r="B42" s="13" t="s">
        <v>143</v>
      </c>
      <c r="C42" s="13" t="s">
        <v>144</v>
      </c>
      <c r="D42" s="13" t="s">
        <v>145</v>
      </c>
      <c r="E42" s="13" t="str">
        <f>"0,5560"</f>
        <v>0,5560</v>
      </c>
      <c r="F42" s="13" t="s">
        <v>9</v>
      </c>
      <c r="G42" s="13" t="s">
        <v>78</v>
      </c>
      <c r="H42" s="14" t="s">
        <v>33</v>
      </c>
      <c r="I42" s="23">
        <v>23</v>
      </c>
      <c r="J42" s="14" t="str">
        <f>"2702,5"</f>
        <v>2702,5</v>
      </c>
      <c r="K42" s="14" t="str">
        <f>"1502,5900"</f>
        <v>1502,5900</v>
      </c>
      <c r="L42" s="13" t="s">
        <v>146</v>
      </c>
    </row>
    <row r="43" ht="12.75">
      <c r="B43" s="5" t="s">
        <v>19</v>
      </c>
    </row>
    <row r="44" spans="2:6" ht="15">
      <c r="B44" s="5" t="s">
        <v>19</v>
      </c>
      <c r="F44" s="15"/>
    </row>
    <row r="45" ht="12.75">
      <c r="B45" s="5" t="s">
        <v>19</v>
      </c>
    </row>
    <row r="46" spans="2:7" ht="18">
      <c r="B46" s="16" t="s">
        <v>59</v>
      </c>
      <c r="C46" s="16"/>
      <c r="G46" s="3"/>
    </row>
    <row r="47" spans="2:7" ht="15">
      <c r="B47" s="25" t="s">
        <v>60</v>
      </c>
      <c r="C47" s="25"/>
      <c r="G47" s="3"/>
    </row>
    <row r="48" spans="2:7" ht="14.25">
      <c r="B48" s="17"/>
      <c r="C48" s="17" t="s">
        <v>67</v>
      </c>
      <c r="G48" s="3"/>
    </row>
    <row r="49" spans="2:7" ht="15">
      <c r="B49" s="4" t="s">
        <v>61</v>
      </c>
      <c r="C49" s="4" t="s">
        <v>62</v>
      </c>
      <c r="D49" s="4" t="s">
        <v>63</v>
      </c>
      <c r="E49" s="4" t="s">
        <v>175</v>
      </c>
      <c r="F49" s="4" t="s">
        <v>172</v>
      </c>
      <c r="G49" s="3"/>
    </row>
    <row r="50" spans="2:7" ht="13.5" customHeight="1">
      <c r="B50" s="5" t="s">
        <v>236</v>
      </c>
      <c r="C50" s="5" t="s">
        <v>67</v>
      </c>
      <c r="D50" s="6" t="s">
        <v>68</v>
      </c>
      <c r="E50" s="6" t="s">
        <v>248</v>
      </c>
      <c r="F50" s="6" t="s">
        <v>249</v>
      </c>
      <c r="G50" s="3"/>
    </row>
    <row r="51" spans="2:7" ht="12.75">
      <c r="B51" s="5" t="s">
        <v>216</v>
      </c>
      <c r="C51" s="5" t="s">
        <v>67</v>
      </c>
      <c r="D51" s="6" t="s">
        <v>66</v>
      </c>
      <c r="E51" s="6" t="s">
        <v>250</v>
      </c>
      <c r="F51" s="6" t="s">
        <v>251</v>
      </c>
      <c r="G51" s="3"/>
    </row>
    <row r="52" spans="2:7" ht="12.75">
      <c r="B52" s="5" t="s">
        <v>229</v>
      </c>
      <c r="C52" s="5" t="s">
        <v>67</v>
      </c>
      <c r="D52" s="6" t="s">
        <v>65</v>
      </c>
      <c r="E52" s="6" t="s">
        <v>252</v>
      </c>
      <c r="F52" s="6" t="s">
        <v>253</v>
      </c>
      <c r="G52" s="3"/>
    </row>
  </sheetData>
  <sheetProtection/>
  <mergeCells count="20">
    <mergeCell ref="K3:K4"/>
    <mergeCell ref="L3:L4"/>
    <mergeCell ref="A5:K5"/>
    <mergeCell ref="A1:L2"/>
    <mergeCell ref="A3:A4"/>
    <mergeCell ref="C3:C4"/>
    <mergeCell ref="D3:D4"/>
    <mergeCell ref="E3:E4"/>
    <mergeCell ref="F3:F4"/>
    <mergeCell ref="G3:G4"/>
    <mergeCell ref="H3:I3"/>
    <mergeCell ref="B3:B4"/>
    <mergeCell ref="J3:J4"/>
    <mergeCell ref="A14:K14"/>
    <mergeCell ref="A22:K22"/>
    <mergeCell ref="A27:K27"/>
    <mergeCell ref="A34:K34"/>
    <mergeCell ref="A39:K39"/>
    <mergeCell ref="A8:K8"/>
    <mergeCell ref="A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2"/>
    </sheetView>
  </sheetViews>
  <sheetFormatPr defaultColWidth="9.125" defaultRowHeight="12.75"/>
  <cols>
    <col min="1" max="1" width="7.375" style="6" bestFit="1" customWidth="1"/>
    <col min="2" max="2" width="18.875" style="5" bestFit="1" customWidth="1"/>
    <col min="3" max="3" width="27.75390625" style="5" bestFit="1" customWidth="1"/>
    <col min="4" max="4" width="16.25390625" style="5" customWidth="1"/>
    <col min="5" max="5" width="10.375" style="5" bestFit="1" customWidth="1"/>
    <col min="6" max="6" width="19.375" style="5" customWidth="1"/>
    <col min="7" max="7" width="19.125" style="5" bestFit="1" customWidth="1"/>
    <col min="8" max="8" width="10.25390625" style="6" customWidth="1"/>
    <col min="9" max="9" width="17.25390625" style="19" customWidth="1"/>
    <col min="10" max="10" width="10.375" style="6" customWidth="1"/>
    <col min="11" max="11" width="9.375" style="6" bestFit="1" customWidth="1"/>
    <col min="12" max="12" width="17.00390625" style="5" bestFit="1" customWidth="1"/>
    <col min="13" max="16384" width="9.125" style="3" customWidth="1"/>
  </cols>
  <sheetData>
    <row r="1" spans="1:12" s="2" customFormat="1" ht="28.5" customHeight="1">
      <c r="A1" s="31" t="s">
        <v>254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2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s="1" customFormat="1" ht="12.75" customHeight="1">
      <c r="A3" s="38" t="s">
        <v>0</v>
      </c>
      <c r="B3" s="29" t="s">
        <v>1</v>
      </c>
      <c r="C3" s="40" t="s">
        <v>2</v>
      </c>
      <c r="D3" s="40" t="s">
        <v>3</v>
      </c>
      <c r="E3" s="42" t="s">
        <v>154</v>
      </c>
      <c r="F3" s="42" t="s">
        <v>4</v>
      </c>
      <c r="G3" s="42" t="s">
        <v>5</v>
      </c>
      <c r="H3" s="42" t="s">
        <v>174</v>
      </c>
      <c r="I3" s="42"/>
      <c r="J3" s="42" t="s">
        <v>175</v>
      </c>
      <c r="K3" s="42" t="s">
        <v>6</v>
      </c>
      <c r="L3" s="43" t="s">
        <v>7</v>
      </c>
    </row>
    <row r="4" spans="1:12" s="1" customFormat="1" ht="21" customHeight="1" thickBot="1">
      <c r="A4" s="39"/>
      <c r="B4" s="30"/>
      <c r="C4" s="41"/>
      <c r="D4" s="41"/>
      <c r="E4" s="41"/>
      <c r="F4" s="41"/>
      <c r="G4" s="41"/>
      <c r="H4" s="26" t="s">
        <v>176</v>
      </c>
      <c r="I4" s="18" t="s">
        <v>177</v>
      </c>
      <c r="J4" s="41"/>
      <c r="K4" s="41"/>
      <c r="L4" s="44"/>
    </row>
    <row r="5" spans="1:11" ht="15">
      <c r="A5" s="45" t="s">
        <v>42</v>
      </c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2" ht="12.75">
      <c r="A6" s="8" t="s">
        <v>8</v>
      </c>
      <c r="B6" s="7" t="s">
        <v>92</v>
      </c>
      <c r="C6" s="7" t="s">
        <v>93</v>
      </c>
      <c r="D6" s="7" t="s">
        <v>88</v>
      </c>
      <c r="E6" s="7" t="str">
        <f>"0,7865"</f>
        <v>0,7865</v>
      </c>
      <c r="F6" s="7" t="s">
        <v>9</v>
      </c>
      <c r="G6" s="7" t="s">
        <v>30</v>
      </c>
      <c r="H6" s="8" t="s">
        <v>14</v>
      </c>
      <c r="I6" s="20">
        <v>27</v>
      </c>
      <c r="J6" s="8" t="str">
        <f>"1147,5"</f>
        <v>1147,5</v>
      </c>
      <c r="K6" s="8" t="str">
        <f>"902,5661"</f>
        <v>902,5661</v>
      </c>
      <c r="L6" s="7" t="s">
        <v>94</v>
      </c>
    </row>
    <row r="7" ht="12.75">
      <c r="B7" s="5" t="s">
        <v>19</v>
      </c>
    </row>
    <row r="8" spans="1:11" ht="15">
      <c r="A8" s="27" t="s">
        <v>21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2" ht="12.75">
      <c r="A9" s="8" t="s">
        <v>8</v>
      </c>
      <c r="B9" s="7" t="s">
        <v>255</v>
      </c>
      <c r="C9" s="7" t="s">
        <v>256</v>
      </c>
      <c r="D9" s="7" t="s">
        <v>29</v>
      </c>
      <c r="E9" s="7" t="str">
        <f>"0,8538"</f>
        <v>0,8538</v>
      </c>
      <c r="F9" s="7" t="s">
        <v>9</v>
      </c>
      <c r="G9" s="7" t="s">
        <v>30</v>
      </c>
      <c r="H9" s="8" t="s">
        <v>69</v>
      </c>
      <c r="I9" s="20">
        <v>88</v>
      </c>
      <c r="J9" s="8" t="str">
        <f>"2640,0"</f>
        <v>2640,0</v>
      </c>
      <c r="K9" s="8" t="str">
        <f>"2254,0320"</f>
        <v>2254,0320</v>
      </c>
      <c r="L9" s="7" t="s">
        <v>257</v>
      </c>
    </row>
    <row r="10" ht="12.75">
      <c r="B10" s="5" t="s">
        <v>19</v>
      </c>
    </row>
  </sheetData>
  <sheetProtection/>
  <mergeCells count="14">
    <mergeCell ref="H3:I3"/>
    <mergeCell ref="J3:J4"/>
    <mergeCell ref="K3:K4"/>
    <mergeCell ref="L3:L4"/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E12" sqref="E12"/>
    </sheetView>
  </sheetViews>
  <sheetFormatPr defaultColWidth="9.125" defaultRowHeight="12.75"/>
  <cols>
    <col min="1" max="1" width="7.375" style="6" bestFit="1" customWidth="1"/>
    <col min="2" max="2" width="18.375" style="5" bestFit="1" customWidth="1"/>
    <col min="3" max="3" width="28.375" style="5" bestFit="1" customWidth="1"/>
    <col min="4" max="4" width="16.875" style="5" customWidth="1"/>
    <col min="5" max="5" width="10.375" style="5" bestFit="1" customWidth="1"/>
    <col min="6" max="6" width="18.25390625" style="5" customWidth="1"/>
    <col min="7" max="7" width="22.375" style="5" customWidth="1"/>
    <col min="8" max="8" width="10.875" style="6" customWidth="1"/>
    <col min="9" max="9" width="16.375" style="19" customWidth="1"/>
    <col min="10" max="10" width="10.875" style="6" customWidth="1"/>
    <col min="11" max="11" width="9.375" style="6" bestFit="1" customWidth="1"/>
    <col min="12" max="12" width="18.125" style="5" bestFit="1" customWidth="1"/>
    <col min="13" max="16384" width="9.125" style="3" customWidth="1"/>
  </cols>
  <sheetData>
    <row r="1" spans="1:12" s="2" customFormat="1" ht="28.5" customHeight="1">
      <c r="A1" s="31" t="s">
        <v>258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2" customFormat="1" ht="61.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s="1" customFormat="1" ht="12.75" customHeight="1">
      <c r="A3" s="38" t="s">
        <v>0</v>
      </c>
      <c r="B3" s="29" t="s">
        <v>1</v>
      </c>
      <c r="C3" s="40" t="s">
        <v>2</v>
      </c>
      <c r="D3" s="40" t="s">
        <v>3</v>
      </c>
      <c r="E3" s="42" t="s">
        <v>154</v>
      </c>
      <c r="F3" s="42" t="s">
        <v>4</v>
      </c>
      <c r="G3" s="42" t="s">
        <v>5</v>
      </c>
      <c r="H3" s="42" t="s">
        <v>174</v>
      </c>
      <c r="I3" s="42"/>
      <c r="J3" s="42" t="s">
        <v>175</v>
      </c>
      <c r="K3" s="42" t="s">
        <v>6</v>
      </c>
      <c r="L3" s="43" t="s">
        <v>7</v>
      </c>
    </row>
    <row r="4" spans="1:12" s="1" customFormat="1" ht="21" customHeight="1" thickBot="1">
      <c r="A4" s="39"/>
      <c r="B4" s="30"/>
      <c r="C4" s="41"/>
      <c r="D4" s="41"/>
      <c r="E4" s="41"/>
      <c r="F4" s="41"/>
      <c r="G4" s="41"/>
      <c r="H4" s="26" t="s">
        <v>176</v>
      </c>
      <c r="I4" s="18" t="s">
        <v>177</v>
      </c>
      <c r="J4" s="41"/>
      <c r="K4" s="41"/>
      <c r="L4" s="44"/>
    </row>
    <row r="5" spans="1:11" ht="15">
      <c r="A5" s="45" t="s">
        <v>21</v>
      </c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2" ht="12.75">
      <c r="A6" s="8" t="s">
        <v>8</v>
      </c>
      <c r="B6" s="7" t="s">
        <v>259</v>
      </c>
      <c r="C6" s="7" t="s">
        <v>260</v>
      </c>
      <c r="D6" s="7" t="s">
        <v>116</v>
      </c>
      <c r="E6" s="7" t="str">
        <f>"1,0093"</f>
        <v>1,0093</v>
      </c>
      <c r="F6" s="7" t="s">
        <v>9</v>
      </c>
      <c r="G6" s="7" t="s">
        <v>30</v>
      </c>
      <c r="H6" s="8" t="s">
        <v>69</v>
      </c>
      <c r="I6" s="20">
        <v>27</v>
      </c>
      <c r="J6" s="8" t="str">
        <f>"810,0"</f>
        <v>810,0</v>
      </c>
      <c r="K6" s="8" t="str">
        <f>"952,4259"</f>
        <v>952,4259</v>
      </c>
      <c r="L6" s="7" t="s">
        <v>261</v>
      </c>
    </row>
    <row r="7" ht="12.75">
      <c r="B7" s="5" t="s">
        <v>19</v>
      </c>
    </row>
    <row r="8" spans="1:11" ht="15">
      <c r="A8" s="27" t="s">
        <v>37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2" ht="12.75">
      <c r="A9" s="8" t="s">
        <v>8</v>
      </c>
      <c r="B9" s="7" t="s">
        <v>117</v>
      </c>
      <c r="C9" s="7" t="s">
        <v>118</v>
      </c>
      <c r="D9" s="7" t="s">
        <v>119</v>
      </c>
      <c r="E9" s="7" t="str">
        <f>"0,8704"</f>
        <v>0,8704</v>
      </c>
      <c r="F9" s="7" t="s">
        <v>9</v>
      </c>
      <c r="G9" s="7" t="s">
        <v>30</v>
      </c>
      <c r="H9" s="8" t="s">
        <v>262</v>
      </c>
      <c r="I9" s="20">
        <v>32</v>
      </c>
      <c r="J9" s="8" t="str">
        <f>"1200,0"</f>
        <v>1200,0</v>
      </c>
      <c r="K9" s="8" t="str">
        <f>"1348,4237"</f>
        <v>1348,4237</v>
      </c>
      <c r="L9" s="7" t="s">
        <v>120</v>
      </c>
    </row>
    <row r="10" ht="12.75">
      <c r="B10" s="5" t="s">
        <v>19</v>
      </c>
    </row>
  </sheetData>
  <sheetProtection/>
  <mergeCells count="14">
    <mergeCell ref="H3:I3"/>
    <mergeCell ref="J3:J4"/>
    <mergeCell ref="K3:K4"/>
    <mergeCell ref="L3:L4"/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2019-05-27T12:14:17Z</dcterms:modified>
  <cp:category/>
  <cp:version/>
  <cp:contentType/>
  <cp:contentStatus/>
</cp:coreProperties>
</file>