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40" activeTab="3"/>
  </bookViews>
  <sheets>
    <sheet name="WRPF folk BP 1_2 wt DT" sheetId="1" r:id="rId1"/>
    <sheet name="WRPF folk BP 1 wt DT" sheetId="2" r:id="rId2"/>
    <sheet name="WRPF folk BP 1_2 wt" sheetId="3" r:id="rId3"/>
    <sheet name="WRPF folk 1 wt" sheetId="4" r:id="rId4"/>
  </sheets>
  <definedNames/>
  <calcPr fullCalcOnLoad="1"/>
</workbook>
</file>

<file path=xl/sharedStrings.xml><?xml version="1.0" encoding="utf-8"?>
<sst xmlns="http://schemas.openxmlformats.org/spreadsheetml/2006/main" count="1158" uniqueCount="530">
  <si>
    <t>Place</t>
  </si>
  <si>
    <t>Name</t>
  </si>
  <si>
    <t>Age Categoty
Bith date/Age</t>
  </si>
  <si>
    <t>Body
weight</t>
  </si>
  <si>
    <t>Team</t>
  </si>
  <si>
    <t>Country/Town</t>
  </si>
  <si>
    <t>Total</t>
  </si>
  <si>
    <t>Pts</t>
  </si>
  <si>
    <t>Coach</t>
  </si>
  <si>
    <t>-</t>
  </si>
  <si>
    <t>Russia</t>
  </si>
  <si>
    <t>RUS/Moscow</t>
  </si>
  <si>
    <t>87,5</t>
  </si>
  <si>
    <t>90,0</t>
  </si>
  <si>
    <t>95,0</t>
  </si>
  <si>
    <t>105,0</t>
  </si>
  <si>
    <t>0,0</t>
  </si>
  <si>
    <t>1</t>
  </si>
  <si>
    <t>60,0</t>
  </si>
  <si>
    <t>65,0</t>
  </si>
  <si>
    <t>70,0</t>
  </si>
  <si>
    <t>35,0</t>
  </si>
  <si>
    <t>37,5</t>
  </si>
  <si>
    <t/>
  </si>
  <si>
    <t>110,0</t>
  </si>
  <si>
    <t>57,5</t>
  </si>
  <si>
    <t>independently</t>
  </si>
  <si>
    <t>2</t>
  </si>
  <si>
    <t>85,0</t>
  </si>
  <si>
    <t>52,5</t>
  </si>
  <si>
    <t>Shashkov A.</t>
  </si>
  <si>
    <t>82,5</t>
  </si>
  <si>
    <t>Body Weight Category  52</t>
  </si>
  <si>
    <t>80,0</t>
  </si>
  <si>
    <t>Smolnikov V.</t>
  </si>
  <si>
    <t>Body Weight Category  56</t>
  </si>
  <si>
    <t>40,0</t>
  </si>
  <si>
    <t>77,5</t>
  </si>
  <si>
    <t>RUS/Podolsk</t>
  </si>
  <si>
    <t>92,5</t>
  </si>
  <si>
    <t>140,0</t>
  </si>
  <si>
    <t>100,0</t>
  </si>
  <si>
    <t>102,5</t>
  </si>
  <si>
    <t>107,5</t>
  </si>
  <si>
    <t>120,0</t>
  </si>
  <si>
    <t>Body Weight Category  60</t>
  </si>
  <si>
    <t>59,80</t>
  </si>
  <si>
    <t>142,5</t>
  </si>
  <si>
    <t>3</t>
  </si>
  <si>
    <t>75,0</t>
  </si>
  <si>
    <t>4</t>
  </si>
  <si>
    <t>Body Weight Category  67.5</t>
  </si>
  <si>
    <t>RUS/Surgut</t>
  </si>
  <si>
    <t>125,0</t>
  </si>
  <si>
    <t>67,40</t>
  </si>
  <si>
    <t>112,5</t>
  </si>
  <si>
    <t>5</t>
  </si>
  <si>
    <t>Kazakhstan</t>
  </si>
  <si>
    <t>KAZ/Almaty</t>
  </si>
  <si>
    <t>Body Weight Category  75</t>
  </si>
  <si>
    <t>72,5</t>
  </si>
  <si>
    <t>Russia/Territoriya fitnesa</t>
  </si>
  <si>
    <t>97,5</t>
  </si>
  <si>
    <t>Sizonov Nikita</t>
  </si>
  <si>
    <t>58,20</t>
  </si>
  <si>
    <t>RUS/Bryansk</t>
  </si>
  <si>
    <t>Malkin O.</t>
  </si>
  <si>
    <t>RUS/Saratov</t>
  </si>
  <si>
    <t>75,00</t>
  </si>
  <si>
    <t>Belarus</t>
  </si>
  <si>
    <t>122,5</t>
  </si>
  <si>
    <t>6</t>
  </si>
  <si>
    <t>7</t>
  </si>
  <si>
    <t>Piklyayev D.</t>
  </si>
  <si>
    <t>8</t>
  </si>
  <si>
    <t>71,40</t>
  </si>
  <si>
    <t>Body Weight Category  82.5</t>
  </si>
  <si>
    <t>152,5</t>
  </si>
  <si>
    <t>81,60</t>
  </si>
  <si>
    <t>Body Weight Category  90</t>
  </si>
  <si>
    <t>89,50</t>
  </si>
  <si>
    <t>Body Weight Category  100</t>
  </si>
  <si>
    <t>98,40</t>
  </si>
  <si>
    <t>RUS/Makhachkala</t>
  </si>
  <si>
    <t>97,50</t>
  </si>
  <si>
    <t>Body Weight Category  110</t>
  </si>
  <si>
    <t>109,40</t>
  </si>
  <si>
    <t>101,40</t>
  </si>
  <si>
    <t>Israpilov Magomedamin</t>
  </si>
  <si>
    <t>108,50</t>
  </si>
  <si>
    <t>Gadzhikurbanov B.</t>
  </si>
  <si>
    <t>Body Weight Category  125</t>
  </si>
  <si>
    <t>RUS/Samara</t>
  </si>
  <si>
    <t>Body Weight Category  140</t>
  </si>
  <si>
    <t>Body Weight Category  140+</t>
  </si>
  <si>
    <t>Tadzhikistan</t>
  </si>
  <si>
    <t>TJK/Dushanbe</t>
  </si>
  <si>
    <t>Akhmadbekov A.</t>
  </si>
  <si>
    <t>Best lifters List</t>
  </si>
  <si>
    <t>Open</t>
  </si>
  <si>
    <t>Age class</t>
  </si>
  <si>
    <t>WC</t>
  </si>
  <si>
    <t>Man</t>
  </si>
  <si>
    <t>Russia/Sbornaya Udmurtii</t>
  </si>
  <si>
    <t>65,70</t>
  </si>
  <si>
    <t>63,00</t>
  </si>
  <si>
    <t>81,80</t>
  </si>
  <si>
    <t>RUS/Saint Petersburg</t>
  </si>
  <si>
    <t>Iran</t>
  </si>
  <si>
    <t>IRN/Tehran</t>
  </si>
  <si>
    <t>Chayka Yaroslav</t>
  </si>
  <si>
    <t>98,90</t>
  </si>
  <si>
    <t>97,80</t>
  </si>
  <si>
    <t>Russia/World Сlass powerteam</t>
  </si>
  <si>
    <t>Open (28.07.1989)/28</t>
  </si>
  <si>
    <t>96,70</t>
  </si>
  <si>
    <t>RUS/Lyubertsy</t>
  </si>
  <si>
    <t>RUS/Zhukovskiy</t>
  </si>
  <si>
    <t>110,00</t>
  </si>
  <si>
    <t>107,60</t>
  </si>
  <si>
    <t>101,10</t>
  </si>
  <si>
    <t>Tarasova Valentina</t>
  </si>
  <si>
    <t>Open (07.07.1975)/42</t>
  </si>
  <si>
    <t>50,70</t>
  </si>
  <si>
    <t>Pecheykin O.</t>
  </si>
  <si>
    <t>Russia/Sbornaya Kryma</t>
  </si>
  <si>
    <t>RUS/Simferopol</t>
  </si>
  <si>
    <t>Pokhvatko R.</t>
  </si>
  <si>
    <t>65,90</t>
  </si>
  <si>
    <t>RUS/Yaroslavl</t>
  </si>
  <si>
    <t>73,50</t>
  </si>
  <si>
    <t>Nasretdinov M.</t>
  </si>
  <si>
    <t>74,00</t>
  </si>
  <si>
    <t>RUS/Perm</t>
  </si>
  <si>
    <t>85,90</t>
  </si>
  <si>
    <t>85,50</t>
  </si>
  <si>
    <t>RUS/Anapa</t>
  </si>
  <si>
    <t>Uzbekistan</t>
  </si>
  <si>
    <t>102,90</t>
  </si>
  <si>
    <t>52,0</t>
  </si>
  <si>
    <t>74,50</t>
  </si>
  <si>
    <t>74,20</t>
  </si>
  <si>
    <t>Khamidzoda Makhmadsiddik</t>
  </si>
  <si>
    <t>Open (18.07.1990)/27</t>
  </si>
  <si>
    <t>74,60</t>
  </si>
  <si>
    <t>76,00</t>
  </si>
  <si>
    <t>82,00</t>
  </si>
  <si>
    <t>Nasriddinov Mirzobobur</t>
  </si>
  <si>
    <t>Open (26.06.1989)/28</t>
  </si>
  <si>
    <t>RUS/Vorkuta</t>
  </si>
  <si>
    <t>BLR/Minsk</t>
  </si>
  <si>
    <t>RUS/Kostroma</t>
  </si>
  <si>
    <t>92,80</t>
  </si>
  <si>
    <t>RUS/Ramenskoye</t>
  </si>
  <si>
    <t>9</t>
  </si>
  <si>
    <t>Estonia</t>
  </si>
  <si>
    <t>55,90</t>
  </si>
  <si>
    <t>Open (15.11.1981)/36</t>
  </si>
  <si>
    <t>Gadzhikurbanov Beglar</t>
  </si>
  <si>
    <t>Open (31.01.1981)/37</t>
  </si>
  <si>
    <t>92,30</t>
  </si>
  <si>
    <t>Israpilov M.</t>
  </si>
  <si>
    <t>BLR/Vitebsk</t>
  </si>
  <si>
    <t>Eyvazov D.</t>
  </si>
  <si>
    <t>RUS/Protvino</t>
  </si>
  <si>
    <t>Pecheykin Oleg</t>
  </si>
  <si>
    <t>Open (09.10.1982)/35</t>
  </si>
  <si>
    <t>UZB/Tashkent</t>
  </si>
  <si>
    <t>Tarasova V.</t>
  </si>
  <si>
    <t>RUS/Chaykovskiy</t>
  </si>
  <si>
    <t>84,20</t>
  </si>
  <si>
    <t>79,50</t>
  </si>
  <si>
    <t>106,10</t>
  </si>
  <si>
    <t>Result</t>
  </si>
  <si>
    <t>27,5</t>
  </si>
  <si>
    <t>30,0</t>
  </si>
  <si>
    <t>Telegina Lyubov</t>
  </si>
  <si>
    <t>Open (05.08.1985)/32</t>
  </si>
  <si>
    <t>51,50</t>
  </si>
  <si>
    <t>Vytnova Natalya</t>
  </si>
  <si>
    <t>Open (26.07.1979)/38</t>
  </si>
  <si>
    <t>55,80</t>
  </si>
  <si>
    <t>Iminov E.</t>
  </si>
  <si>
    <t>Open (05.05.1987)/30</t>
  </si>
  <si>
    <t>Logvinova Diana</t>
  </si>
  <si>
    <t>RUS/Orel</t>
  </si>
  <si>
    <t>Logvinov A.</t>
  </si>
  <si>
    <t>RUS/Odintsovo</t>
  </si>
  <si>
    <t>Iminov Irkin</t>
  </si>
  <si>
    <t>51,30</t>
  </si>
  <si>
    <t>Yusupov Aziz</t>
  </si>
  <si>
    <t>Babayev Z.</t>
  </si>
  <si>
    <t>Salosalov Sergey</t>
  </si>
  <si>
    <t>Salosalov S.</t>
  </si>
  <si>
    <t>Davtyan Grant</t>
  </si>
  <si>
    <t>RUS/Kotelniki</t>
  </si>
  <si>
    <t>Makhmadkulov Buzurgmekhr</t>
  </si>
  <si>
    <t>Dzhumagulov Azamat</t>
  </si>
  <si>
    <t>Open (14.10.1993)/24</t>
  </si>
  <si>
    <t>73,80</t>
  </si>
  <si>
    <t>10</t>
  </si>
  <si>
    <t>11</t>
  </si>
  <si>
    <t>RUS/Nizhniy Novgorod</t>
  </si>
  <si>
    <t>Zhumadilov Oleg</t>
  </si>
  <si>
    <t>Open (07.04.1986)/32</t>
  </si>
  <si>
    <t>81,10</t>
  </si>
  <si>
    <t>EST/Tallin</t>
  </si>
  <si>
    <t>Open (15.10.1981)/36</t>
  </si>
  <si>
    <t>86,80</t>
  </si>
  <si>
    <t>Vorontsov Ilya</t>
  </si>
  <si>
    <t>Open (07.12.1982)/35</t>
  </si>
  <si>
    <t>86,30</t>
  </si>
  <si>
    <t>Smolenkov V.</t>
  </si>
  <si>
    <t>RUS/Izhevsk</t>
  </si>
  <si>
    <t>RUS/Irkutsk</t>
  </si>
  <si>
    <t>86,50</t>
  </si>
  <si>
    <t>87,20</t>
  </si>
  <si>
    <t>Mazur Yevgeniy</t>
  </si>
  <si>
    <t>Open (30.11.1990)/27</t>
  </si>
  <si>
    <t>93,40</t>
  </si>
  <si>
    <t>Zhiganov Mikhail</t>
  </si>
  <si>
    <t>Open (07.06.1981)/36</t>
  </si>
  <si>
    <t>RUS/Pushchino</t>
  </si>
  <si>
    <t>Polyakov Nikolay</t>
  </si>
  <si>
    <t>Open (21.05.1984)/33</t>
  </si>
  <si>
    <t>91,70</t>
  </si>
  <si>
    <t>97,00</t>
  </si>
  <si>
    <t>Trufyakov Aleksandr</t>
  </si>
  <si>
    <t>96,10</t>
  </si>
  <si>
    <t>RUS/Noyabrsk</t>
  </si>
  <si>
    <t>103,40</t>
  </si>
  <si>
    <t>102,50</t>
  </si>
  <si>
    <t>Smirnov Vadim</t>
  </si>
  <si>
    <t>Open (13.10.1982)/35</t>
  </si>
  <si>
    <t>103,90</t>
  </si>
  <si>
    <t>RUS/Krasnoyarsk</t>
  </si>
  <si>
    <t>Bakhmudov Magomedemin</t>
  </si>
  <si>
    <t>Open (17.02.1989)/29</t>
  </si>
  <si>
    <t>107,80</t>
  </si>
  <si>
    <t>M-Murad</t>
  </si>
  <si>
    <t>Tulin Denis</t>
  </si>
  <si>
    <t>Open (13.02.1983)/35</t>
  </si>
  <si>
    <t>106,30</t>
  </si>
  <si>
    <t>Foad Zarei</t>
  </si>
  <si>
    <t>103,30</t>
  </si>
  <si>
    <t>Hosseini Seyed</t>
  </si>
  <si>
    <t>Kireyev Dmitriy</t>
  </si>
  <si>
    <t>Suvorov Yuriy</t>
  </si>
  <si>
    <t>Trofimov Boris</t>
  </si>
  <si>
    <t>151,90</t>
  </si>
  <si>
    <t>RUS/Gukovo</t>
  </si>
  <si>
    <t>samostoyatelno</t>
  </si>
  <si>
    <t>Yurlov Igor</t>
  </si>
  <si>
    <t>63,90</t>
  </si>
  <si>
    <t>RUS/Tambov</t>
  </si>
  <si>
    <t>Mukhin Vladislav</t>
  </si>
  <si>
    <t>Open (01.03.1983)/35</t>
  </si>
  <si>
    <t>RUS/Kamyshin</t>
  </si>
  <si>
    <t>Rizayeva O.</t>
  </si>
  <si>
    <t>Zolotovskiy Leonid</t>
  </si>
  <si>
    <t>Open (29.12.1991)/26</t>
  </si>
  <si>
    <t>Open (25.07.1989)/28</t>
  </si>
  <si>
    <t>93,20</t>
  </si>
  <si>
    <t>Shemyagin Roman</t>
  </si>
  <si>
    <t>Tikhonov Andrey</t>
  </si>
  <si>
    <t>Open (01.02.1983)/35</t>
  </si>
  <si>
    <t>Kaverin Nikita</t>
  </si>
  <si>
    <t>Open (14.07.1989)/28</t>
  </si>
  <si>
    <t>93,60</t>
  </si>
  <si>
    <t>RUS/Michurinsk</t>
  </si>
  <si>
    <t>108,30</t>
  </si>
  <si>
    <t>Filatov Yevgeniy</t>
  </si>
  <si>
    <t>107,40</t>
  </si>
  <si>
    <t>Solntsev Maksim</t>
  </si>
  <si>
    <t>Open (29.08.1986)/31</t>
  </si>
  <si>
    <t>Chuba David</t>
  </si>
  <si>
    <t>Open (25.09.1985)/32</t>
  </si>
  <si>
    <t>Chuba R.</t>
  </si>
  <si>
    <t>Pinchuk Aleksey</t>
  </si>
  <si>
    <t>Open (14.04.1994)/24</t>
  </si>
  <si>
    <t>102,30</t>
  </si>
  <si>
    <t>Vintenkov Aleksandr</t>
  </si>
  <si>
    <t>Solntsev M.</t>
  </si>
  <si>
    <t>Rastorguyev Oleg</t>
  </si>
  <si>
    <t>Open (08.08.1973)/44</t>
  </si>
  <si>
    <t>120,80</t>
  </si>
  <si>
    <t>RUS/Ufa</t>
  </si>
  <si>
    <t>Gloss</t>
  </si>
  <si>
    <t>58,10</t>
  </si>
  <si>
    <t>RUS/Orekhovo-Zuyevo</t>
  </si>
  <si>
    <t>70,00</t>
  </si>
  <si>
    <t>109,70</t>
  </si>
  <si>
    <t>Open (09.02.1985)/33</t>
  </si>
  <si>
    <t>WRPF European championship
WRPF "Folk" Bench Press (with 1/2 own bodyweight) with Drug Test
Moscow, 27 - 30 april 2018</t>
  </si>
  <si>
    <t>Bench press multirepeat</t>
  </si>
  <si>
    <t>Weight</t>
  </si>
  <si>
    <t>Rpt</t>
  </si>
  <si>
    <t>Rodionova Irina</t>
  </si>
  <si>
    <t>Open (01.03.1987)/31</t>
  </si>
  <si>
    <t>Stepovoy V.</t>
  </si>
  <si>
    <t>Zagubnaya Nadezhda</t>
  </si>
  <si>
    <t>Masters 40-49 (21.02.1972)/46</t>
  </si>
  <si>
    <t>Sirenko Lyubov</t>
  </si>
  <si>
    <t>Masters 40-49 (30.08.1976)/41</t>
  </si>
  <si>
    <t>32,5</t>
  </si>
  <si>
    <t>Teen 13-19 (28.12.2000)/17</t>
  </si>
  <si>
    <t>Teen 13-19 (16.08.2002)/15</t>
  </si>
  <si>
    <t>Ozerov Anton</t>
  </si>
  <si>
    <t>Teen 13-19 (13.06.2001)/16</t>
  </si>
  <si>
    <t>Teen 13-19 (11.09.2004)/13</t>
  </si>
  <si>
    <t>Ozerov Maksim</t>
  </si>
  <si>
    <t>Simonov Aleksandr</t>
  </si>
  <si>
    <t>Teen 13-19 (30.04.2002)/15</t>
  </si>
  <si>
    <t>WRPF European championship
WRPF "Folk" Bench Press (with own bodyweight) with Drug Test
Moscow, 27 - 30 april 2018</t>
  </si>
  <si>
    <t>Juniors 20-23 (17.11.1996)/21</t>
  </si>
  <si>
    <t>Masters 50-59 (27.07.1959)/58</t>
  </si>
  <si>
    <t>Juniors 20-23 (26.06.1996)/21</t>
  </si>
  <si>
    <t>Medzhitov Ridvan</t>
  </si>
  <si>
    <t>Open (20.02.1989)/29</t>
  </si>
  <si>
    <t>Katayev L.</t>
  </si>
  <si>
    <t>Kolistratov Dmitriy</t>
  </si>
  <si>
    <t>Open (08.03.1977)/41</t>
  </si>
  <si>
    <t>Kolistratov D.</t>
  </si>
  <si>
    <t>RUS/Talinka</t>
  </si>
  <si>
    <t>Sapegin Dmitriy</t>
  </si>
  <si>
    <t>Open (19.07.1993)/24</t>
  </si>
  <si>
    <t>Saidov N.</t>
  </si>
  <si>
    <t>Namoyev Aziz</t>
  </si>
  <si>
    <t>Open (21.07.1989)/28</t>
  </si>
  <si>
    <t>Andriyenko I.</t>
  </si>
  <si>
    <t>Open (03.03.2001)/17</t>
  </si>
  <si>
    <t>Nikolay P.</t>
  </si>
  <si>
    <t>Sapronov Maksim</t>
  </si>
  <si>
    <t>Open (29.12.1993)/24</t>
  </si>
  <si>
    <t>68,70</t>
  </si>
  <si>
    <t>Masters 40-49 (08.03.1977)/41</t>
  </si>
  <si>
    <t>Kolesnik Yuriy</t>
  </si>
  <si>
    <t>Juniors 20-23 (03.01.1996)/22</t>
  </si>
  <si>
    <t>79,30</t>
  </si>
  <si>
    <t>Buriyev Mikhail</t>
  </si>
  <si>
    <t>Open (28.03.1975)/43</t>
  </si>
  <si>
    <t>Masters 40-49 (28.03.1975)/43</t>
  </si>
  <si>
    <t>Tarbeyev Sergey</t>
  </si>
  <si>
    <t>Masters 40-49 (29.07.1972)/45</t>
  </si>
  <si>
    <t>Lankov Timur</t>
  </si>
  <si>
    <t>Juniors 20-23 (16.07.1994)/23</t>
  </si>
  <si>
    <t>86,60</t>
  </si>
  <si>
    <t>Skobkarev Roman</t>
  </si>
  <si>
    <t>Open (25.09.1986)/31</t>
  </si>
  <si>
    <t>84,00</t>
  </si>
  <si>
    <t>Fatyanov Yevgeniy</t>
  </si>
  <si>
    <t>Open (28.03.1982)/36</t>
  </si>
  <si>
    <t>Matyushenko I.</t>
  </si>
  <si>
    <t>Lashkin Sergey</t>
  </si>
  <si>
    <t>Open (17.03.1983)/35</t>
  </si>
  <si>
    <t>Ivanov Igor</t>
  </si>
  <si>
    <t>Open (05.08.1968)/49</t>
  </si>
  <si>
    <t>RUS/Sosnoviy Bor</t>
  </si>
  <si>
    <t>Kurbanov Ernst</t>
  </si>
  <si>
    <t>Open (13.09.1990)/27</t>
  </si>
  <si>
    <t>Polyakova Y.</t>
  </si>
  <si>
    <t>Lipkovskiy Pavel</t>
  </si>
  <si>
    <t>Open (01.09.1983)/34</t>
  </si>
  <si>
    <t>90,40</t>
  </si>
  <si>
    <t>Masters 40-49 (05.08.1968)/49</t>
  </si>
  <si>
    <t>Masters 40-49 (17.08.1975)/42</t>
  </si>
  <si>
    <t>Popov Igor</t>
  </si>
  <si>
    <t>Masters 40-49 (10.11.1974)/43</t>
  </si>
  <si>
    <t>Ilin Dmitriy</t>
  </si>
  <si>
    <t>Masters 40-49 (16.08.1973)/44</t>
  </si>
  <si>
    <t>90,70</t>
  </si>
  <si>
    <t>Zhegulin Andrey</t>
  </si>
  <si>
    <t>Open (26.06.1980)/37</t>
  </si>
  <si>
    <t>100,80</t>
  </si>
  <si>
    <t>Andronov Aleksandr</t>
  </si>
  <si>
    <t>Masters 40-49 (03.11.1977)/40</t>
  </si>
  <si>
    <t>100,30</t>
  </si>
  <si>
    <t>Masters 40-49 (03.05.1975)/42</t>
  </si>
  <si>
    <t>Masters 40-49 (25.08.1969)/48</t>
  </si>
  <si>
    <t>Sazonov Vadim</t>
  </si>
  <si>
    <t>Masters 40-49 (06.07.1975)/42</t>
  </si>
  <si>
    <t>Masters 50-59 (22.11.1965)/52</t>
  </si>
  <si>
    <t>Krylov M.</t>
  </si>
  <si>
    <t>Cheredin Vladimir</t>
  </si>
  <si>
    <t>Open (30.01.1971)/47</t>
  </si>
  <si>
    <t>118,40</t>
  </si>
  <si>
    <t>BLR/Mozyr</t>
  </si>
  <si>
    <t>Lazurenko S.</t>
  </si>
  <si>
    <t>Shpagin Maksim</t>
  </si>
  <si>
    <t>Open (04.01.1979)/39</t>
  </si>
  <si>
    <t>123,50</t>
  </si>
  <si>
    <t>111,80</t>
  </si>
  <si>
    <t>Masters 40-49 (30.01.1971)/47</t>
  </si>
  <si>
    <t>Masters 40-49 (21.03.1972)/46</t>
  </si>
  <si>
    <t>3400,0</t>
  </si>
  <si>
    <t>2166,6500</t>
  </si>
  <si>
    <t>3675,0</t>
  </si>
  <si>
    <t>2104,8561</t>
  </si>
  <si>
    <t>3510,0</t>
  </si>
  <si>
    <t>2070,7246</t>
  </si>
  <si>
    <t>Masters</t>
  </si>
  <si>
    <t>Masters 40-49</t>
  </si>
  <si>
    <t>2304,7165</t>
  </si>
  <si>
    <t>Masters 50-59</t>
  </si>
  <si>
    <t>1680,0</t>
  </si>
  <si>
    <t>2127,7798</t>
  </si>
  <si>
    <t>3120,0</t>
  </si>
  <si>
    <t>2124,9653</t>
  </si>
  <si>
    <t>WRPF European championship
WRPF "Folk" Bench Press (with 1/2 own bodyweight)
Moscow, 27 - 30 april 2018</t>
  </si>
  <si>
    <t>Palyanitsa Yuliya</t>
  </si>
  <si>
    <t>Open (31.05.1984)/33</t>
  </si>
  <si>
    <t>56,80</t>
  </si>
  <si>
    <t>Kuznetsov V.</t>
  </si>
  <si>
    <t>Klukina Kseniya</t>
  </si>
  <si>
    <t>Shpagina Darya</t>
  </si>
  <si>
    <t>Teen 13-19 (19.10.2004)/13</t>
  </si>
  <si>
    <t>Shpagin M.</t>
  </si>
  <si>
    <t>Yeroma Nikita</t>
  </si>
  <si>
    <t>Teen 13-19 (19.11.2002)/15</t>
  </si>
  <si>
    <t>Kozlov Valentin</t>
  </si>
  <si>
    <t>Masters 60+ (08.08.1943)/74</t>
  </si>
  <si>
    <t>76,90</t>
  </si>
  <si>
    <t>WRPF/WEPF/WAF European championship
WRPF "Folk" Bench Press (with own bodyweight)
Moscow, 27 - 30 april 2018</t>
  </si>
  <si>
    <t>Juniors 20-23 (16.11.1996)/21</t>
  </si>
  <si>
    <t>Nikitin Roman</t>
  </si>
  <si>
    <t>Open (20.03.1993)/25</t>
  </si>
  <si>
    <t>RUS/Lukhovitsy</t>
  </si>
  <si>
    <t>Chirkin Vadim</t>
  </si>
  <si>
    <t>Open (31.05.1992)/25</t>
  </si>
  <si>
    <t>Kuznetsov Vladimir</t>
  </si>
  <si>
    <t>Open (03.02.1994)/24</t>
  </si>
  <si>
    <t>78,90</t>
  </si>
  <si>
    <t>Sushiy Ilya</t>
  </si>
  <si>
    <t>Open (20.08.1984)/33</t>
  </si>
  <si>
    <t>RUS/Seversk</t>
  </si>
  <si>
    <t>Kazakov Dmitriy</t>
  </si>
  <si>
    <t>Open (12.09.1990)/27</t>
  </si>
  <si>
    <t>78,20</t>
  </si>
  <si>
    <t>Kochubey Anton</t>
  </si>
  <si>
    <t>Open (21.12.1988)/29</t>
  </si>
  <si>
    <t>RUS/Kurganinsk</t>
  </si>
  <si>
    <t>82,20</t>
  </si>
  <si>
    <t>Galitsin Gennadiy</t>
  </si>
  <si>
    <t>Open (15.04.1985)/33</t>
  </si>
  <si>
    <t>87,70</t>
  </si>
  <si>
    <t>World class powerteam/Belarus</t>
  </si>
  <si>
    <t>Vereshchagin Artem</t>
  </si>
  <si>
    <t>Open (17.09.1988)/29</t>
  </si>
  <si>
    <t>83,50</t>
  </si>
  <si>
    <t>Vashurin Yevgeniy</t>
  </si>
  <si>
    <t>Open (03.03.1980)/38</t>
  </si>
  <si>
    <t>Kruglikov Aleksey</t>
  </si>
  <si>
    <t>Open (02.06.1981)/36</t>
  </si>
  <si>
    <t>RUS/Tomsk</t>
  </si>
  <si>
    <t>Reutov Sergey</t>
  </si>
  <si>
    <t>83,30</t>
  </si>
  <si>
    <t>Skobkarev D.</t>
  </si>
  <si>
    <t>Ryabov Anton</t>
  </si>
  <si>
    <t>Open (03.05.1986)/31</t>
  </si>
  <si>
    <t>Kitayevskiy Dmitriy</t>
  </si>
  <si>
    <t>Open (14.07.1984)/33</t>
  </si>
  <si>
    <t>Turkin D.</t>
  </si>
  <si>
    <t>Yuvko Nikita</t>
  </si>
  <si>
    <t>Open (23.02.1986)/32</t>
  </si>
  <si>
    <t>Drozdov Sergey</t>
  </si>
  <si>
    <t>RUS/Zheleznodorozhniy</t>
  </si>
  <si>
    <t>Mogilnikov S.</t>
  </si>
  <si>
    <t>Yerofeyev Pavel</t>
  </si>
  <si>
    <t>Masters 40-49 (11.06.1974)/43</t>
  </si>
  <si>
    <t>83,70</t>
  </si>
  <si>
    <t>Juniors 20-23 (15.02.1996)/22</t>
  </si>
  <si>
    <t>Skobkarev Dmitriy</t>
  </si>
  <si>
    <t>Open (07.04.1982)/36</t>
  </si>
  <si>
    <t>Eyvazov Dmitriy</t>
  </si>
  <si>
    <t>Open (19.05.1983)/34</t>
  </si>
  <si>
    <t>Kovrigin Aleksey</t>
  </si>
  <si>
    <t>Masters 40-49 (18.08.1975)/42</t>
  </si>
  <si>
    <t>RUS/Shcherbinka</t>
  </si>
  <si>
    <t>Surovetskiy A.</t>
  </si>
  <si>
    <t>Masters 40-49 (29.05.1973)/44</t>
  </si>
  <si>
    <t>Bardin Vladimir</t>
  </si>
  <si>
    <t>Open (13.01.1985)/33</t>
  </si>
  <si>
    <t>Sorokin Stanislav</t>
  </si>
  <si>
    <t>Open (09.04.1988)/30</t>
  </si>
  <si>
    <t>104,20</t>
  </si>
  <si>
    <t>RUS/Mozhaysk</t>
  </si>
  <si>
    <t>Sorokina E.</t>
  </si>
  <si>
    <t>Kabanov Ivan</t>
  </si>
  <si>
    <t>Open (05.06.1981)/36</t>
  </si>
  <si>
    <t>106,40</t>
  </si>
  <si>
    <t>Yakhimovich V.</t>
  </si>
  <si>
    <t>Sukhoparov Sergey</t>
  </si>
  <si>
    <t>Khilevich Vitaliy</t>
  </si>
  <si>
    <t>Open (17.07.1985)/32</t>
  </si>
  <si>
    <t>Yakushev Oleg</t>
  </si>
  <si>
    <t>101,00</t>
  </si>
  <si>
    <t>RUS/Selyatyno</t>
  </si>
  <si>
    <t>Masters 40-49 (23.02.1976)/42</t>
  </si>
  <si>
    <t>Chernov Valeriy</t>
  </si>
  <si>
    <t>Masters 40-49 (06.12.1969)/48</t>
  </si>
  <si>
    <t>Masters 40-49 (20.09.1977)/40</t>
  </si>
  <si>
    <t>Sapozhnikov Eduard</t>
  </si>
  <si>
    <t>Masters 50-59 (22.11.1967)/50</t>
  </si>
  <si>
    <t>105,00</t>
  </si>
  <si>
    <t>Khalmuradov Eldar</t>
  </si>
  <si>
    <t>Open (16.07.1987)/30</t>
  </si>
  <si>
    <t>110,70</t>
  </si>
  <si>
    <t>Masters 40-49 (08.08.1973)/44</t>
  </si>
  <si>
    <t>Lozinskiy Nikolay</t>
  </si>
  <si>
    <t>Masters 40-49 (11.09.1976)/41</t>
  </si>
  <si>
    <t>111,90</t>
  </si>
  <si>
    <t>RUS/Votkinsk</t>
  </si>
  <si>
    <t>Mogilnikov Sergey</t>
  </si>
  <si>
    <t>Masters 40-49 (19.09.1973)/44</t>
  </si>
  <si>
    <t>140,00</t>
  </si>
  <si>
    <t>Filin Mikhail</t>
  </si>
  <si>
    <t>Open (17.11.1961)/56</t>
  </si>
  <si>
    <t>141,00</t>
  </si>
  <si>
    <t>Masters 50-59 (17.11.1961)/56</t>
  </si>
  <si>
    <t>7500,0</t>
  </si>
  <si>
    <t>5205,0000</t>
  </si>
  <si>
    <t>6240,0</t>
  </si>
  <si>
    <t>4143,9839</t>
  </si>
  <si>
    <t>5657,5</t>
  </si>
  <si>
    <t>3825,0358</t>
  </si>
  <si>
    <t>2238,8990</t>
  </si>
  <si>
    <t>3185,0</t>
  </si>
  <si>
    <t>1827,4075</t>
  </si>
  <si>
    <t>3045,0</t>
  </si>
  <si>
    <t>1822,9867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</si>
</sst>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.0"/>
    <numFmt numFmtId="166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2.375" style="6" customWidth="1"/>
    <col min="3" max="3" width="29.375" style="6" customWidth="1"/>
    <col min="4" max="4" width="12.875" style="6" bestFit="1" customWidth="1"/>
    <col min="5" max="5" width="8.75390625" style="6" customWidth="1"/>
    <col min="6" max="6" width="17.25390625" style="6" bestFit="1" customWidth="1"/>
    <col min="7" max="7" width="18.25390625" style="6" customWidth="1"/>
    <col min="8" max="8" width="13.875" style="7" customWidth="1"/>
    <col min="9" max="9" width="13.875" style="22" customWidth="1"/>
    <col min="10" max="10" width="8.75390625" style="7" customWidth="1"/>
    <col min="11" max="11" width="11.375" style="7" customWidth="1"/>
    <col min="12" max="12" width="22.375" style="6" customWidth="1"/>
    <col min="13" max="16384" width="9.125" style="3" customWidth="1"/>
  </cols>
  <sheetData>
    <row r="1" spans="1:12" s="2" customFormat="1" ht="28.5" customHeight="1">
      <c r="A1" s="32" t="s">
        <v>293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4" t="s">
        <v>1</v>
      </c>
      <c r="C3" s="42" t="s">
        <v>2</v>
      </c>
      <c r="D3" s="42" t="s">
        <v>3</v>
      </c>
      <c r="E3" s="44" t="s">
        <v>287</v>
      </c>
      <c r="F3" s="44" t="s">
        <v>4</v>
      </c>
      <c r="G3" s="44" t="s">
        <v>5</v>
      </c>
      <c r="H3" s="44" t="s">
        <v>294</v>
      </c>
      <c r="I3" s="44"/>
      <c r="J3" s="44" t="s">
        <v>173</v>
      </c>
      <c r="K3" s="44" t="s">
        <v>7</v>
      </c>
      <c r="L3" s="45" t="s">
        <v>8</v>
      </c>
    </row>
    <row r="4" spans="1:12" s="1" customFormat="1" ht="23.25" customHeight="1" thickBot="1">
      <c r="A4" s="41"/>
      <c r="B4" s="47"/>
      <c r="C4" s="43"/>
      <c r="D4" s="43"/>
      <c r="E4" s="43"/>
      <c r="F4" s="43"/>
      <c r="G4" s="43"/>
      <c r="H4" s="30" t="s">
        <v>295</v>
      </c>
      <c r="I4" s="25" t="s">
        <v>296</v>
      </c>
      <c r="J4" s="43"/>
      <c r="K4" s="43"/>
      <c r="L4" s="46"/>
    </row>
    <row r="5" spans="1:12" s="4" customFormat="1" ht="1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</row>
    <row r="6" spans="1:12" s="4" customFormat="1" ht="12.75">
      <c r="A6" s="9" t="s">
        <v>17</v>
      </c>
      <c r="B6" s="8" t="s">
        <v>176</v>
      </c>
      <c r="C6" s="8" t="s">
        <v>177</v>
      </c>
      <c r="D6" s="8" t="s">
        <v>178</v>
      </c>
      <c r="E6" s="8" t="str">
        <f>"1,1161"</f>
        <v>1,1161</v>
      </c>
      <c r="F6" s="8" t="s">
        <v>10</v>
      </c>
      <c r="G6" s="8" t="s">
        <v>11</v>
      </c>
      <c r="H6" s="9" t="s">
        <v>174</v>
      </c>
      <c r="I6" s="23">
        <v>50</v>
      </c>
      <c r="J6" s="9" t="str">
        <f>"1375,0"</f>
        <v>1375,0</v>
      </c>
      <c r="K6" s="9" t="str">
        <f>"1534,6374"</f>
        <v>1534,6374</v>
      </c>
      <c r="L6" s="21" t="s">
        <v>26</v>
      </c>
    </row>
    <row r="7" spans="1:12" s="4" customFormat="1" ht="12.75">
      <c r="A7" s="7"/>
      <c r="B7" s="6" t="s">
        <v>23</v>
      </c>
      <c r="C7" s="6"/>
      <c r="D7" s="6"/>
      <c r="E7" s="6"/>
      <c r="F7" s="6"/>
      <c r="G7" s="6"/>
      <c r="H7" s="7"/>
      <c r="I7" s="22"/>
      <c r="J7" s="7"/>
      <c r="K7" s="7"/>
      <c r="L7" s="6"/>
    </row>
    <row r="8" spans="1:11" ht="15">
      <c r="A8" s="3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12.75">
      <c r="A9" s="11" t="s">
        <v>17</v>
      </c>
      <c r="B9" s="10" t="s">
        <v>297</v>
      </c>
      <c r="C9" s="10" t="s">
        <v>298</v>
      </c>
      <c r="D9" s="10" t="s">
        <v>128</v>
      </c>
      <c r="E9" s="10" t="str">
        <f>"0,9166"</f>
        <v>0,9166</v>
      </c>
      <c r="F9" s="10" t="s">
        <v>10</v>
      </c>
      <c r="G9" s="10" t="s">
        <v>38</v>
      </c>
      <c r="H9" s="11" t="s">
        <v>21</v>
      </c>
      <c r="I9" s="26">
        <v>31</v>
      </c>
      <c r="J9" s="11" t="str">
        <f>"1085,0"</f>
        <v>1085,0</v>
      </c>
      <c r="K9" s="11" t="str">
        <f>"994,5652"</f>
        <v>994,5652</v>
      </c>
      <c r="L9" s="18" t="s">
        <v>299</v>
      </c>
    </row>
    <row r="10" spans="1:12" ht="12.75">
      <c r="A10" s="15" t="s">
        <v>17</v>
      </c>
      <c r="B10" s="14" t="s">
        <v>300</v>
      </c>
      <c r="C10" s="14" t="s">
        <v>301</v>
      </c>
      <c r="D10" s="14" t="s">
        <v>104</v>
      </c>
      <c r="E10" s="14" t="str">
        <f>"0,9189"</f>
        <v>0,9189</v>
      </c>
      <c r="F10" s="14" t="s">
        <v>10</v>
      </c>
      <c r="G10" s="14" t="s">
        <v>11</v>
      </c>
      <c r="H10" s="15" t="s">
        <v>21</v>
      </c>
      <c r="I10" s="27">
        <v>25</v>
      </c>
      <c r="J10" s="15" t="str">
        <f>"875,0"</f>
        <v>875,0</v>
      </c>
      <c r="K10" s="15" t="str">
        <f>"858,6653"</f>
        <v>858,6653</v>
      </c>
      <c r="L10" s="19" t="s">
        <v>34</v>
      </c>
    </row>
    <row r="11" spans="1:12" ht="12.75">
      <c r="A11" s="13" t="s">
        <v>9</v>
      </c>
      <c r="B11" s="12" t="s">
        <v>302</v>
      </c>
      <c r="C11" s="12" t="s">
        <v>303</v>
      </c>
      <c r="D11" s="12" t="s">
        <v>105</v>
      </c>
      <c r="E11" s="12" t="str">
        <f>"0,9499"</f>
        <v>0,9499</v>
      </c>
      <c r="F11" s="12" t="s">
        <v>10</v>
      </c>
      <c r="G11" s="20" t="s">
        <v>52</v>
      </c>
      <c r="H11" s="13" t="s">
        <v>304</v>
      </c>
      <c r="I11" s="24">
        <v>0</v>
      </c>
      <c r="J11" s="13" t="s">
        <v>16</v>
      </c>
      <c r="K11" s="13" t="str">
        <f>"0,0000"</f>
        <v>0,0000</v>
      </c>
      <c r="L11" s="20" t="s">
        <v>26</v>
      </c>
    </row>
    <row r="12" ht="12.75">
      <c r="B12" s="6" t="s">
        <v>23</v>
      </c>
    </row>
    <row r="13" spans="1:11" ht="15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2" ht="12.75">
      <c r="A14" s="9" t="s">
        <v>17</v>
      </c>
      <c r="B14" s="8" t="s">
        <v>190</v>
      </c>
      <c r="C14" s="8" t="s">
        <v>305</v>
      </c>
      <c r="D14" s="8" t="s">
        <v>156</v>
      </c>
      <c r="E14" s="8" t="str">
        <f>"0,8942"</f>
        <v>0,8942</v>
      </c>
      <c r="F14" s="8" t="s">
        <v>10</v>
      </c>
      <c r="G14" s="8" t="s">
        <v>83</v>
      </c>
      <c r="H14" s="9" t="s">
        <v>175</v>
      </c>
      <c r="I14" s="23">
        <v>61</v>
      </c>
      <c r="J14" s="9" t="str">
        <f>"1830,0"</f>
        <v>1830,0</v>
      </c>
      <c r="K14" s="9" t="str">
        <f>"1636,3860"</f>
        <v>1636,3860</v>
      </c>
      <c r="L14" s="21" t="s">
        <v>191</v>
      </c>
    </row>
    <row r="15" ht="12.75">
      <c r="B15" s="6" t="s">
        <v>23</v>
      </c>
    </row>
    <row r="16" spans="1:11" ht="15">
      <c r="A16" s="31" t="s">
        <v>45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2" ht="12.75">
      <c r="A17" s="9" t="s">
        <v>17</v>
      </c>
      <c r="B17" s="8" t="s">
        <v>63</v>
      </c>
      <c r="C17" s="8" t="s">
        <v>306</v>
      </c>
      <c r="D17" s="8" t="s">
        <v>64</v>
      </c>
      <c r="E17" s="8" t="str">
        <f>"0,8582"</f>
        <v>0,8582</v>
      </c>
      <c r="F17" s="8" t="s">
        <v>10</v>
      </c>
      <c r="G17" s="8" t="s">
        <v>65</v>
      </c>
      <c r="H17" s="9" t="s">
        <v>175</v>
      </c>
      <c r="I17" s="23">
        <v>49</v>
      </c>
      <c r="J17" s="9" t="str">
        <f>"1470,0"</f>
        <v>1470,0</v>
      </c>
      <c r="K17" s="9" t="str">
        <f>"1261,5540"</f>
        <v>1261,5540</v>
      </c>
      <c r="L17" s="21" t="s">
        <v>66</v>
      </c>
    </row>
    <row r="18" ht="12.75">
      <c r="B18" s="6" t="s">
        <v>23</v>
      </c>
    </row>
    <row r="19" spans="1:11" ht="15">
      <c r="A19" s="31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2" ht="12.75">
      <c r="A20" s="9" t="s">
        <v>9</v>
      </c>
      <c r="B20" s="8" t="s">
        <v>307</v>
      </c>
      <c r="C20" s="8" t="s">
        <v>308</v>
      </c>
      <c r="D20" s="8" t="s">
        <v>54</v>
      </c>
      <c r="E20" s="8" t="str">
        <f>"0,7494"</f>
        <v>0,7494</v>
      </c>
      <c r="F20" s="8" t="s">
        <v>10</v>
      </c>
      <c r="G20" s="8" t="s">
        <v>11</v>
      </c>
      <c r="H20" s="9" t="s">
        <v>21</v>
      </c>
      <c r="I20" s="23">
        <v>0</v>
      </c>
      <c r="J20" s="9" t="s">
        <v>16</v>
      </c>
      <c r="K20" s="9" t="str">
        <f>"0,0000"</f>
        <v>0,0000</v>
      </c>
      <c r="L20" s="21" t="s">
        <v>34</v>
      </c>
    </row>
    <row r="21" ht="12.75">
      <c r="B21" s="6" t="s">
        <v>23</v>
      </c>
    </row>
    <row r="22" spans="1:11" ht="15">
      <c r="A22" s="31" t="s">
        <v>59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2" ht="12.75">
      <c r="A23" s="11" t="s">
        <v>17</v>
      </c>
      <c r="B23" s="10" t="s">
        <v>192</v>
      </c>
      <c r="C23" s="10" t="s">
        <v>309</v>
      </c>
      <c r="D23" s="10" t="s">
        <v>132</v>
      </c>
      <c r="E23" s="10" t="str">
        <f>"0,6955"</f>
        <v>0,6955</v>
      </c>
      <c r="F23" s="10" t="s">
        <v>10</v>
      </c>
      <c r="G23" s="10" t="s">
        <v>11</v>
      </c>
      <c r="H23" s="11" t="s">
        <v>22</v>
      </c>
      <c r="I23" s="26">
        <v>66</v>
      </c>
      <c r="J23" s="11" t="str">
        <f>"2475,0"</f>
        <v>2475,0</v>
      </c>
      <c r="K23" s="11" t="str">
        <f>"1721,2388"</f>
        <v>1721,2388</v>
      </c>
      <c r="L23" s="18" t="s">
        <v>193</v>
      </c>
    </row>
    <row r="24" spans="1:12" ht="12.75">
      <c r="A24" s="13" t="s">
        <v>27</v>
      </c>
      <c r="B24" s="12" t="s">
        <v>310</v>
      </c>
      <c r="C24" s="12" t="s">
        <v>308</v>
      </c>
      <c r="D24" s="12" t="s">
        <v>290</v>
      </c>
      <c r="E24" s="12" t="str">
        <f>"0,7262"</f>
        <v>0,7262</v>
      </c>
      <c r="F24" s="12" t="s">
        <v>10</v>
      </c>
      <c r="G24" s="12" t="s">
        <v>11</v>
      </c>
      <c r="H24" s="13" t="s">
        <v>21</v>
      </c>
      <c r="I24" s="24">
        <v>50</v>
      </c>
      <c r="J24" s="13" t="str">
        <f>"1750,0"</f>
        <v>1750,0</v>
      </c>
      <c r="K24" s="13" t="str">
        <f>"1270,9375"</f>
        <v>1270,9375</v>
      </c>
      <c r="L24" s="20" t="s">
        <v>34</v>
      </c>
    </row>
    <row r="25" ht="12.75">
      <c r="B25" s="6" t="s">
        <v>23</v>
      </c>
    </row>
    <row r="26" spans="1:11" ht="15">
      <c r="A26" s="31" t="s">
        <v>76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2" ht="12.75">
      <c r="A27" s="9" t="s">
        <v>17</v>
      </c>
      <c r="B27" s="8" t="s">
        <v>311</v>
      </c>
      <c r="C27" s="8" t="s">
        <v>312</v>
      </c>
      <c r="D27" s="8" t="s">
        <v>171</v>
      </c>
      <c r="E27" s="8" t="str">
        <f>"0,6606"</f>
        <v>0,6606</v>
      </c>
      <c r="F27" s="8" t="s">
        <v>10</v>
      </c>
      <c r="G27" s="8" t="s">
        <v>11</v>
      </c>
      <c r="H27" s="9" t="s">
        <v>36</v>
      </c>
      <c r="I27" s="23">
        <v>54</v>
      </c>
      <c r="J27" s="9" t="str">
        <f>"2160,0"</f>
        <v>2160,0</v>
      </c>
      <c r="K27" s="9" t="str">
        <f>"1426,8960"</f>
        <v>1426,8960</v>
      </c>
      <c r="L27" s="21" t="s">
        <v>34</v>
      </c>
    </row>
    <row r="28" ht="12.75">
      <c r="B28" s="6" t="s">
        <v>23</v>
      </c>
    </row>
  </sheetData>
  <sheetProtection/>
  <mergeCells count="19">
    <mergeCell ref="L3:L4"/>
    <mergeCell ref="A5:K5"/>
    <mergeCell ref="A8:K8"/>
    <mergeCell ref="A13:K13"/>
    <mergeCell ref="A1:L2"/>
    <mergeCell ref="A3:A4"/>
    <mergeCell ref="C3:C4"/>
    <mergeCell ref="D3:D4"/>
    <mergeCell ref="E3:E4"/>
    <mergeCell ref="F3:F4"/>
    <mergeCell ref="A16:K16"/>
    <mergeCell ref="A19:K19"/>
    <mergeCell ref="A22:K22"/>
    <mergeCell ref="A26:K26"/>
    <mergeCell ref="B3:B4"/>
    <mergeCell ref="J3:J4"/>
    <mergeCell ref="K3:K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7.00390625" style="6" customWidth="1"/>
    <col min="3" max="3" width="27.125" style="6" bestFit="1" customWidth="1"/>
    <col min="4" max="4" width="12.875" style="6" bestFit="1" customWidth="1"/>
    <col min="5" max="5" width="8.375" style="6" customWidth="1"/>
    <col min="6" max="6" width="27.25390625" style="6" customWidth="1"/>
    <col min="7" max="7" width="24.75390625" style="6" customWidth="1"/>
    <col min="8" max="8" width="15.125" style="7" customWidth="1"/>
    <col min="9" max="9" width="15.125" style="22" customWidth="1"/>
    <col min="10" max="10" width="9.00390625" style="7" customWidth="1"/>
    <col min="11" max="11" width="12.125" style="7" customWidth="1"/>
    <col min="12" max="12" width="22.00390625" style="6" bestFit="1" customWidth="1"/>
    <col min="13" max="16384" width="9.125" style="3" customWidth="1"/>
  </cols>
  <sheetData>
    <row r="1" spans="1:12" s="2" customFormat="1" ht="28.5" customHeight="1">
      <c r="A1" s="32" t="s">
        <v>313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4" t="s">
        <v>1</v>
      </c>
      <c r="C3" s="42" t="s">
        <v>2</v>
      </c>
      <c r="D3" s="42" t="s">
        <v>3</v>
      </c>
      <c r="E3" s="44" t="s">
        <v>287</v>
      </c>
      <c r="F3" s="44" t="s">
        <v>4</v>
      </c>
      <c r="G3" s="44" t="s">
        <v>5</v>
      </c>
      <c r="H3" s="44" t="s">
        <v>294</v>
      </c>
      <c r="I3" s="44"/>
      <c r="J3" s="44" t="s">
        <v>173</v>
      </c>
      <c r="K3" s="44" t="s">
        <v>7</v>
      </c>
      <c r="L3" s="45" t="s">
        <v>8</v>
      </c>
    </row>
    <row r="4" spans="1:12" s="1" customFormat="1" ht="23.25" customHeight="1" thickBot="1">
      <c r="A4" s="41"/>
      <c r="B4" s="47"/>
      <c r="C4" s="43"/>
      <c r="D4" s="43"/>
      <c r="E4" s="43"/>
      <c r="F4" s="43"/>
      <c r="G4" s="43"/>
      <c r="H4" s="30" t="s">
        <v>295</v>
      </c>
      <c r="I4" s="25" t="s">
        <v>296</v>
      </c>
      <c r="J4" s="43"/>
      <c r="K4" s="43"/>
      <c r="L4" s="46"/>
    </row>
    <row r="5" spans="1:12" s="4" customFormat="1" ht="1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</row>
    <row r="6" spans="1:12" s="4" customFormat="1" ht="12.75">
      <c r="A6" s="9" t="s">
        <v>17</v>
      </c>
      <c r="B6" s="8" t="s">
        <v>121</v>
      </c>
      <c r="C6" s="8" t="s">
        <v>122</v>
      </c>
      <c r="D6" s="8" t="s">
        <v>123</v>
      </c>
      <c r="E6" s="8" t="str">
        <f>"1,1299"</f>
        <v>1,1299</v>
      </c>
      <c r="F6" s="8" t="s">
        <v>57</v>
      </c>
      <c r="G6" s="8" t="s">
        <v>58</v>
      </c>
      <c r="H6" s="9" t="s">
        <v>29</v>
      </c>
      <c r="I6" s="23">
        <v>28</v>
      </c>
      <c r="J6" s="9" t="str">
        <f>"1470,0"</f>
        <v>1470,0</v>
      </c>
      <c r="K6" s="9" t="str">
        <f>"1660,9530"</f>
        <v>1660,9530</v>
      </c>
      <c r="L6" s="21" t="s">
        <v>124</v>
      </c>
    </row>
    <row r="7" spans="1:12" s="4" customFormat="1" ht="12.75">
      <c r="A7" s="7"/>
      <c r="B7" s="6" t="s">
        <v>23</v>
      </c>
      <c r="C7" s="6"/>
      <c r="D7" s="6"/>
      <c r="E7" s="6"/>
      <c r="F7" s="6"/>
      <c r="G7" s="6"/>
      <c r="H7" s="7"/>
      <c r="I7" s="22"/>
      <c r="J7" s="7"/>
      <c r="K7" s="7"/>
      <c r="L7" s="6"/>
    </row>
    <row r="8" spans="1:11" ht="1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12.75">
      <c r="A9" s="9" t="s">
        <v>17</v>
      </c>
      <c r="B9" s="8" t="s">
        <v>179</v>
      </c>
      <c r="C9" s="8" t="s">
        <v>180</v>
      </c>
      <c r="D9" s="8" t="s">
        <v>181</v>
      </c>
      <c r="E9" s="8" t="str">
        <f>"1,0469"</f>
        <v>1,0469</v>
      </c>
      <c r="F9" s="8" t="s">
        <v>57</v>
      </c>
      <c r="G9" s="8" t="s">
        <v>58</v>
      </c>
      <c r="H9" s="9" t="s">
        <v>25</v>
      </c>
      <c r="I9" s="23">
        <v>13</v>
      </c>
      <c r="J9" s="9" t="str">
        <f>"747,5"</f>
        <v>747,5</v>
      </c>
      <c r="K9" s="9" t="str">
        <f>"782,5578"</f>
        <v>782,5578</v>
      </c>
      <c r="L9" s="21" t="s">
        <v>182</v>
      </c>
    </row>
    <row r="10" ht="12.75">
      <c r="B10" s="6" t="s">
        <v>23</v>
      </c>
    </row>
    <row r="11" spans="1:11" ht="15">
      <c r="A11" s="31" t="s">
        <v>45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12.75">
      <c r="A12" s="9" t="s">
        <v>17</v>
      </c>
      <c r="B12" s="8" t="s">
        <v>184</v>
      </c>
      <c r="C12" s="8" t="s">
        <v>314</v>
      </c>
      <c r="D12" s="8" t="s">
        <v>46</v>
      </c>
      <c r="E12" s="8" t="str">
        <f>"0,9903"</f>
        <v>0,9903</v>
      </c>
      <c r="F12" s="8" t="s">
        <v>10</v>
      </c>
      <c r="G12" s="21" t="s">
        <v>185</v>
      </c>
      <c r="H12" s="9" t="s">
        <v>18</v>
      </c>
      <c r="I12" s="23">
        <v>8</v>
      </c>
      <c r="J12" s="9" t="str">
        <f>"480,0"</f>
        <v>480,0</v>
      </c>
      <c r="K12" s="9" t="str">
        <f>"475,3440"</f>
        <v>475,3440</v>
      </c>
      <c r="L12" s="21" t="s">
        <v>186</v>
      </c>
    </row>
    <row r="13" ht="12.75">
      <c r="B13" s="6" t="s">
        <v>23</v>
      </c>
    </row>
    <row r="14" spans="1:11" ht="15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2" ht="12.75">
      <c r="A15" s="9" t="s">
        <v>17</v>
      </c>
      <c r="B15" s="8" t="s">
        <v>188</v>
      </c>
      <c r="C15" s="8" t="s">
        <v>315</v>
      </c>
      <c r="D15" s="8" t="s">
        <v>189</v>
      </c>
      <c r="E15" s="8" t="str">
        <f>"0,9811"</f>
        <v>0,9811</v>
      </c>
      <c r="F15" s="8" t="s">
        <v>57</v>
      </c>
      <c r="G15" s="8" t="s">
        <v>58</v>
      </c>
      <c r="H15" s="9" t="s">
        <v>29</v>
      </c>
      <c r="I15" s="23">
        <v>32</v>
      </c>
      <c r="J15" s="9" t="str">
        <f>"1680,0"</f>
        <v>1680,0</v>
      </c>
      <c r="K15" s="9" t="str">
        <f>"2127,7798"</f>
        <v>2127,7798</v>
      </c>
      <c r="L15" s="21" t="s">
        <v>26</v>
      </c>
    </row>
    <row r="16" ht="12.75">
      <c r="B16" s="6" t="s">
        <v>23</v>
      </c>
    </row>
    <row r="17" spans="1:11" ht="15">
      <c r="A17" s="31" t="s">
        <v>59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2" ht="12.75">
      <c r="A18" s="11" t="s">
        <v>17</v>
      </c>
      <c r="B18" s="10" t="s">
        <v>196</v>
      </c>
      <c r="C18" s="10" t="s">
        <v>316</v>
      </c>
      <c r="D18" s="10" t="s">
        <v>130</v>
      </c>
      <c r="E18" s="10" t="str">
        <f>"0,6990"</f>
        <v>0,6990</v>
      </c>
      <c r="F18" s="18" t="s">
        <v>95</v>
      </c>
      <c r="G18" s="10" t="s">
        <v>96</v>
      </c>
      <c r="H18" s="11" t="s">
        <v>49</v>
      </c>
      <c r="I18" s="26">
        <v>32</v>
      </c>
      <c r="J18" s="11" t="str">
        <f>"2400,0"</f>
        <v>2400,0</v>
      </c>
      <c r="K18" s="11" t="str">
        <f>"1677,6000"</f>
        <v>1677,6000</v>
      </c>
      <c r="L18" s="18" t="s">
        <v>131</v>
      </c>
    </row>
    <row r="19" spans="1:12" ht="12.75">
      <c r="A19" s="15" t="s">
        <v>17</v>
      </c>
      <c r="B19" s="14" t="s">
        <v>317</v>
      </c>
      <c r="C19" s="14" t="s">
        <v>318</v>
      </c>
      <c r="D19" s="14" t="s">
        <v>68</v>
      </c>
      <c r="E19" s="14" t="str">
        <f>"0,6885"</f>
        <v>0,6885</v>
      </c>
      <c r="F19" s="19" t="s">
        <v>125</v>
      </c>
      <c r="G19" s="14" t="s">
        <v>126</v>
      </c>
      <c r="H19" s="15" t="s">
        <v>49</v>
      </c>
      <c r="I19" s="27">
        <v>38</v>
      </c>
      <c r="J19" s="15" t="str">
        <f>"2850,0"</f>
        <v>2850,0</v>
      </c>
      <c r="K19" s="15" t="str">
        <f>"1962,3675"</f>
        <v>1962,3675</v>
      </c>
      <c r="L19" s="19" t="s">
        <v>319</v>
      </c>
    </row>
    <row r="20" spans="1:12" ht="12.75">
      <c r="A20" s="15" t="s">
        <v>27</v>
      </c>
      <c r="B20" s="14" t="s">
        <v>320</v>
      </c>
      <c r="C20" s="14" t="s">
        <v>321</v>
      </c>
      <c r="D20" s="14" t="s">
        <v>140</v>
      </c>
      <c r="E20" s="14" t="str">
        <f>"0,6920"</f>
        <v>0,6920</v>
      </c>
      <c r="F20" s="14" t="s">
        <v>10</v>
      </c>
      <c r="G20" s="14" t="s">
        <v>11</v>
      </c>
      <c r="H20" s="15" t="s">
        <v>49</v>
      </c>
      <c r="I20" s="27">
        <v>35</v>
      </c>
      <c r="J20" s="15" t="str">
        <f>"2625,0"</f>
        <v>2625,0</v>
      </c>
      <c r="K20" s="15" t="str">
        <f>"1816,3688"</f>
        <v>1816,3688</v>
      </c>
      <c r="L20" s="19" t="s">
        <v>322</v>
      </c>
    </row>
    <row r="21" spans="1:12" ht="12.75">
      <c r="A21" s="15" t="s">
        <v>48</v>
      </c>
      <c r="B21" s="14" t="s">
        <v>197</v>
      </c>
      <c r="C21" s="14" t="s">
        <v>198</v>
      </c>
      <c r="D21" s="14" t="s">
        <v>199</v>
      </c>
      <c r="E21" s="14" t="str">
        <f>"0,6969"</f>
        <v>0,6969</v>
      </c>
      <c r="F21" s="14" t="s">
        <v>10</v>
      </c>
      <c r="G21" s="19" t="s">
        <v>323</v>
      </c>
      <c r="H21" s="15" t="s">
        <v>49</v>
      </c>
      <c r="I21" s="27">
        <v>31</v>
      </c>
      <c r="J21" s="15" t="str">
        <f>"2325,0"</f>
        <v>2325,0</v>
      </c>
      <c r="K21" s="15" t="str">
        <f>"1620,1763"</f>
        <v>1620,1763</v>
      </c>
      <c r="L21" s="19" t="s">
        <v>26</v>
      </c>
    </row>
    <row r="22" spans="1:12" ht="12.75">
      <c r="A22" s="15" t="s">
        <v>50</v>
      </c>
      <c r="B22" s="14" t="s">
        <v>324</v>
      </c>
      <c r="C22" s="14" t="s">
        <v>325</v>
      </c>
      <c r="D22" s="14" t="s">
        <v>141</v>
      </c>
      <c r="E22" s="14" t="str">
        <f>"0,6940"</f>
        <v>0,6940</v>
      </c>
      <c r="F22" s="14" t="s">
        <v>10</v>
      </c>
      <c r="G22" s="14" t="s">
        <v>286</v>
      </c>
      <c r="H22" s="15" t="s">
        <v>49</v>
      </c>
      <c r="I22" s="27">
        <v>30</v>
      </c>
      <c r="J22" s="15" t="str">
        <f>"2250,0"</f>
        <v>2250,0</v>
      </c>
      <c r="K22" s="15" t="str">
        <f>"1561,5000"</f>
        <v>1561,5000</v>
      </c>
      <c r="L22" s="19" t="s">
        <v>326</v>
      </c>
    </row>
    <row r="23" spans="1:12" ht="12.75">
      <c r="A23" s="15" t="s">
        <v>56</v>
      </c>
      <c r="B23" s="14" t="s">
        <v>327</v>
      </c>
      <c r="C23" s="14" t="s">
        <v>328</v>
      </c>
      <c r="D23" s="14" t="s">
        <v>75</v>
      </c>
      <c r="E23" s="14" t="str">
        <f>"0,7149"</f>
        <v>0,7149</v>
      </c>
      <c r="F23" s="14" t="s">
        <v>10</v>
      </c>
      <c r="G23" s="14" t="s">
        <v>136</v>
      </c>
      <c r="H23" s="15" t="s">
        <v>60</v>
      </c>
      <c r="I23" s="27">
        <v>26</v>
      </c>
      <c r="J23" s="15" t="str">
        <f>"1885,0"</f>
        <v>1885,0</v>
      </c>
      <c r="K23" s="15" t="str">
        <f>"1347,4923"</f>
        <v>1347,4923</v>
      </c>
      <c r="L23" s="19" t="s">
        <v>329</v>
      </c>
    </row>
    <row r="24" spans="1:12" ht="12.75">
      <c r="A24" s="15" t="s">
        <v>71</v>
      </c>
      <c r="B24" s="14" t="s">
        <v>194</v>
      </c>
      <c r="C24" s="14" t="s">
        <v>330</v>
      </c>
      <c r="D24" s="14" t="s">
        <v>75</v>
      </c>
      <c r="E24" s="14" t="str">
        <f>"0,7149"</f>
        <v>0,7149</v>
      </c>
      <c r="F24" s="14" t="s">
        <v>10</v>
      </c>
      <c r="G24" s="14" t="s">
        <v>195</v>
      </c>
      <c r="H24" s="15" t="s">
        <v>60</v>
      </c>
      <c r="I24" s="27">
        <v>26</v>
      </c>
      <c r="J24" s="15" t="str">
        <f>"1885,0"</f>
        <v>1885,0</v>
      </c>
      <c r="K24" s="15" t="str">
        <f>"1347,4923"</f>
        <v>1347,4923</v>
      </c>
      <c r="L24" s="19" t="s">
        <v>331</v>
      </c>
    </row>
    <row r="25" spans="1:12" ht="12.75">
      <c r="A25" s="15" t="s">
        <v>72</v>
      </c>
      <c r="B25" s="14" t="s">
        <v>332</v>
      </c>
      <c r="C25" s="14" t="s">
        <v>333</v>
      </c>
      <c r="D25" s="14" t="s">
        <v>334</v>
      </c>
      <c r="E25" s="14" t="str">
        <f>"0,7375"</f>
        <v>0,7375</v>
      </c>
      <c r="F25" s="14" t="s">
        <v>10</v>
      </c>
      <c r="G25" s="14" t="s">
        <v>11</v>
      </c>
      <c r="H25" s="15" t="s">
        <v>20</v>
      </c>
      <c r="I25" s="27">
        <v>23</v>
      </c>
      <c r="J25" s="15" t="str">
        <f>"1610,0"</f>
        <v>1610,0</v>
      </c>
      <c r="K25" s="15" t="str">
        <f>"1187,2945"</f>
        <v>1187,2945</v>
      </c>
      <c r="L25" s="19" t="s">
        <v>26</v>
      </c>
    </row>
    <row r="26" spans="1:12" ht="12.75">
      <c r="A26" s="13" t="s">
        <v>17</v>
      </c>
      <c r="B26" s="12" t="s">
        <v>320</v>
      </c>
      <c r="C26" s="12" t="s">
        <v>335</v>
      </c>
      <c r="D26" s="12" t="s">
        <v>140</v>
      </c>
      <c r="E26" s="12" t="str">
        <f>"0,6920"</f>
        <v>0,6920</v>
      </c>
      <c r="F26" s="12" t="s">
        <v>10</v>
      </c>
      <c r="G26" s="12" t="s">
        <v>11</v>
      </c>
      <c r="H26" s="13" t="s">
        <v>49</v>
      </c>
      <c r="I26" s="24">
        <v>35</v>
      </c>
      <c r="J26" s="13" t="str">
        <f>"2625,0"</f>
        <v>2625,0</v>
      </c>
      <c r="K26" s="13" t="str">
        <f>"1834,5325"</f>
        <v>1834,5325</v>
      </c>
      <c r="L26" s="20" t="s">
        <v>322</v>
      </c>
    </row>
    <row r="27" ht="12.75">
      <c r="B27" s="6" t="s">
        <v>23</v>
      </c>
    </row>
    <row r="28" spans="1:11" ht="15">
      <c r="A28" s="31" t="s">
        <v>76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2" ht="12.75">
      <c r="A29" s="11" t="s">
        <v>17</v>
      </c>
      <c r="B29" s="10" t="s">
        <v>336</v>
      </c>
      <c r="C29" s="10" t="s">
        <v>337</v>
      </c>
      <c r="D29" s="10" t="s">
        <v>338</v>
      </c>
      <c r="E29" s="10" t="str">
        <f>"0,6618"</f>
        <v>0,6618</v>
      </c>
      <c r="F29" s="10" t="s">
        <v>10</v>
      </c>
      <c r="G29" s="10" t="s">
        <v>38</v>
      </c>
      <c r="H29" s="11" t="s">
        <v>33</v>
      </c>
      <c r="I29" s="26">
        <v>33</v>
      </c>
      <c r="J29" s="11" t="str">
        <f>"2640,0"</f>
        <v>2640,0</v>
      </c>
      <c r="K29" s="11" t="str">
        <f>"1747,0200"</f>
        <v>1747,0200</v>
      </c>
      <c r="L29" s="18" t="s">
        <v>30</v>
      </c>
    </row>
    <row r="30" spans="1:12" ht="12.75">
      <c r="A30" s="15" t="s">
        <v>17</v>
      </c>
      <c r="B30" s="14" t="s">
        <v>339</v>
      </c>
      <c r="C30" s="14" t="s">
        <v>340</v>
      </c>
      <c r="D30" s="14" t="s">
        <v>171</v>
      </c>
      <c r="E30" s="14" t="str">
        <f>"0,6606"</f>
        <v>0,6606</v>
      </c>
      <c r="F30" s="14" t="s">
        <v>10</v>
      </c>
      <c r="G30" s="14" t="s">
        <v>11</v>
      </c>
      <c r="H30" s="15" t="s">
        <v>33</v>
      </c>
      <c r="I30" s="27">
        <v>39</v>
      </c>
      <c r="J30" s="15" t="str">
        <f>"3120,0"</f>
        <v>3120,0</v>
      </c>
      <c r="K30" s="15" t="str">
        <f>"2061,0720"</f>
        <v>2061,0720</v>
      </c>
      <c r="L30" s="14" t="s">
        <v>251</v>
      </c>
    </row>
    <row r="31" spans="1:12" ht="12.75">
      <c r="A31" s="15" t="s">
        <v>27</v>
      </c>
      <c r="B31" s="14" t="s">
        <v>203</v>
      </c>
      <c r="C31" s="14" t="s">
        <v>204</v>
      </c>
      <c r="D31" s="14" t="s">
        <v>205</v>
      </c>
      <c r="E31" s="14" t="str">
        <f>"0,6518"</f>
        <v>0,6518</v>
      </c>
      <c r="F31" s="19" t="s">
        <v>155</v>
      </c>
      <c r="G31" s="14" t="s">
        <v>206</v>
      </c>
      <c r="H31" s="15" t="s">
        <v>31</v>
      </c>
      <c r="I31" s="27">
        <v>38</v>
      </c>
      <c r="J31" s="15" t="str">
        <f>"3135,0"</f>
        <v>3135,0</v>
      </c>
      <c r="K31" s="15" t="str">
        <f>"2043,5497"</f>
        <v>2043,5497</v>
      </c>
      <c r="L31" s="14" t="s">
        <v>251</v>
      </c>
    </row>
    <row r="32" spans="1:12" ht="12.75">
      <c r="A32" s="15" t="s">
        <v>17</v>
      </c>
      <c r="B32" s="14" t="s">
        <v>339</v>
      </c>
      <c r="C32" s="14" t="s">
        <v>341</v>
      </c>
      <c r="D32" s="14" t="s">
        <v>171</v>
      </c>
      <c r="E32" s="14" t="str">
        <f>"0,6606"</f>
        <v>0,6606</v>
      </c>
      <c r="F32" s="14" t="s">
        <v>10</v>
      </c>
      <c r="G32" s="14" t="s">
        <v>11</v>
      </c>
      <c r="H32" s="15" t="s">
        <v>33</v>
      </c>
      <c r="I32" s="27">
        <v>39</v>
      </c>
      <c r="J32" s="15" t="str">
        <f>"3120,0"</f>
        <v>3120,0</v>
      </c>
      <c r="K32" s="15" t="str">
        <f>"2124,9653"</f>
        <v>2124,9653</v>
      </c>
      <c r="L32" s="14" t="s">
        <v>251</v>
      </c>
    </row>
    <row r="33" spans="1:12" ht="12.75">
      <c r="A33" s="13" t="s">
        <v>27</v>
      </c>
      <c r="B33" s="12" t="s">
        <v>342</v>
      </c>
      <c r="C33" s="12" t="s">
        <v>343</v>
      </c>
      <c r="D33" s="12" t="s">
        <v>78</v>
      </c>
      <c r="E33" s="12" t="str">
        <f>"0,6492"</f>
        <v>0,6492</v>
      </c>
      <c r="F33" s="12" t="s">
        <v>10</v>
      </c>
      <c r="G33" s="12" t="s">
        <v>214</v>
      </c>
      <c r="H33" s="13" t="s">
        <v>31</v>
      </c>
      <c r="I33" s="24">
        <v>16</v>
      </c>
      <c r="J33" s="13" t="str">
        <f>"1320,0"</f>
        <v>1320,0</v>
      </c>
      <c r="K33" s="13" t="str">
        <f>"904,1455"</f>
        <v>904,1455</v>
      </c>
      <c r="L33" s="12" t="s">
        <v>251</v>
      </c>
    </row>
    <row r="34" ht="12.75">
      <c r="B34" s="6" t="s">
        <v>23</v>
      </c>
    </row>
    <row r="35" spans="1:11" ht="15">
      <c r="A35" s="31" t="s">
        <v>79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2" ht="12.75">
      <c r="A36" s="11" t="s">
        <v>17</v>
      </c>
      <c r="B36" s="10" t="s">
        <v>344</v>
      </c>
      <c r="C36" s="10" t="s">
        <v>345</v>
      </c>
      <c r="D36" s="10" t="s">
        <v>346</v>
      </c>
      <c r="E36" s="10" t="str">
        <f>"0,6255"</f>
        <v>0,6255</v>
      </c>
      <c r="F36" s="18" t="s">
        <v>10</v>
      </c>
      <c r="G36" s="18" t="s">
        <v>107</v>
      </c>
      <c r="H36" s="11" t="s">
        <v>12</v>
      </c>
      <c r="I36" s="26">
        <v>27</v>
      </c>
      <c r="J36" s="11" t="str">
        <f>"2362,5"</f>
        <v>2362,5</v>
      </c>
      <c r="K36" s="11" t="str">
        <f>"1477,7438"</f>
        <v>1477,7438</v>
      </c>
      <c r="L36" s="18" t="s">
        <v>26</v>
      </c>
    </row>
    <row r="37" spans="1:12" ht="12.75">
      <c r="A37" s="15" t="s">
        <v>17</v>
      </c>
      <c r="B37" s="14" t="s">
        <v>347</v>
      </c>
      <c r="C37" s="14" t="s">
        <v>348</v>
      </c>
      <c r="D37" s="14" t="s">
        <v>349</v>
      </c>
      <c r="E37" s="14" t="str">
        <f>"0,6373"</f>
        <v>0,6373</v>
      </c>
      <c r="F37" s="19" t="s">
        <v>103</v>
      </c>
      <c r="G37" s="14" t="s">
        <v>213</v>
      </c>
      <c r="H37" s="15" t="s">
        <v>28</v>
      </c>
      <c r="I37" s="27">
        <v>40</v>
      </c>
      <c r="J37" s="15" t="str">
        <f>"3400,0"</f>
        <v>3400,0</v>
      </c>
      <c r="K37" s="15" t="str">
        <f>"2166,6500"</f>
        <v>2166,6500</v>
      </c>
      <c r="L37" s="19" t="s">
        <v>73</v>
      </c>
    </row>
    <row r="38" spans="1:12" ht="12.75">
      <c r="A38" s="15" t="s">
        <v>27</v>
      </c>
      <c r="B38" s="14" t="s">
        <v>209</v>
      </c>
      <c r="C38" s="14" t="s">
        <v>210</v>
      </c>
      <c r="D38" s="14" t="s">
        <v>211</v>
      </c>
      <c r="E38" s="14" t="str">
        <f>"0,6269"</f>
        <v>0,6269</v>
      </c>
      <c r="F38" s="14" t="s">
        <v>10</v>
      </c>
      <c r="G38" s="14" t="s">
        <v>11</v>
      </c>
      <c r="H38" s="15" t="s">
        <v>12</v>
      </c>
      <c r="I38" s="27">
        <v>37</v>
      </c>
      <c r="J38" s="15" t="str">
        <f>"3237,5"</f>
        <v>3237,5</v>
      </c>
      <c r="K38" s="15" t="str">
        <f>"2029,4269"</f>
        <v>2029,4269</v>
      </c>
      <c r="L38" s="19" t="s">
        <v>212</v>
      </c>
    </row>
    <row r="39" spans="1:12" ht="12.75">
      <c r="A39" s="15" t="s">
        <v>48</v>
      </c>
      <c r="B39" s="14" t="s">
        <v>350</v>
      </c>
      <c r="C39" s="14" t="s">
        <v>351</v>
      </c>
      <c r="D39" s="14" t="s">
        <v>208</v>
      </c>
      <c r="E39" s="14" t="str">
        <f>"0,6247"</f>
        <v>0,6247</v>
      </c>
      <c r="F39" s="14" t="s">
        <v>10</v>
      </c>
      <c r="G39" s="14" t="s">
        <v>11</v>
      </c>
      <c r="H39" s="15" t="s">
        <v>12</v>
      </c>
      <c r="I39" s="27">
        <v>32</v>
      </c>
      <c r="J39" s="15" t="str">
        <f>"2800,0"</f>
        <v>2800,0</v>
      </c>
      <c r="K39" s="15" t="str">
        <f>"1749,0200"</f>
        <v>1749,0200</v>
      </c>
      <c r="L39" s="19" t="s">
        <v>352</v>
      </c>
    </row>
    <row r="40" spans="1:12" ht="12.75">
      <c r="A40" s="15" t="s">
        <v>50</v>
      </c>
      <c r="B40" s="14" t="s">
        <v>217</v>
      </c>
      <c r="C40" s="14" t="s">
        <v>218</v>
      </c>
      <c r="D40" s="14" t="s">
        <v>208</v>
      </c>
      <c r="E40" s="14" t="str">
        <f>"0,6247"</f>
        <v>0,6247</v>
      </c>
      <c r="F40" s="14" t="s">
        <v>10</v>
      </c>
      <c r="G40" s="14" t="s">
        <v>187</v>
      </c>
      <c r="H40" s="15" t="s">
        <v>12</v>
      </c>
      <c r="I40" s="27">
        <v>29</v>
      </c>
      <c r="J40" s="15" t="str">
        <f>"2537,5"</f>
        <v>2537,5</v>
      </c>
      <c r="K40" s="15" t="str">
        <f>"1585,0494"</f>
        <v>1585,0494</v>
      </c>
      <c r="L40" s="19" t="s">
        <v>26</v>
      </c>
    </row>
    <row r="41" spans="1:12" ht="12.75">
      <c r="A41" s="13" t="s">
        <v>56</v>
      </c>
      <c r="B41" s="12" t="s">
        <v>353</v>
      </c>
      <c r="C41" s="12" t="s">
        <v>354</v>
      </c>
      <c r="D41" s="12" t="s">
        <v>135</v>
      </c>
      <c r="E41" s="12" t="str">
        <f>"0,6303"</f>
        <v>0,6303</v>
      </c>
      <c r="F41" s="12" t="s">
        <v>10</v>
      </c>
      <c r="G41" s="12" t="s">
        <v>133</v>
      </c>
      <c r="H41" s="13" t="s">
        <v>12</v>
      </c>
      <c r="I41" s="24">
        <v>20</v>
      </c>
      <c r="J41" s="13" t="str">
        <f>"1750,0"</f>
        <v>1750,0</v>
      </c>
      <c r="K41" s="13" t="str">
        <f>"1103,1125"</f>
        <v>1103,1125</v>
      </c>
      <c r="L41" s="20" t="s">
        <v>26</v>
      </c>
    </row>
    <row r="42" ht="12.75">
      <c r="B42" s="6" t="s">
        <v>23</v>
      </c>
    </row>
    <row r="43" spans="1:11" ht="15">
      <c r="A43" s="31" t="s">
        <v>81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2" ht="12.75">
      <c r="A44" s="11" t="s">
        <v>17</v>
      </c>
      <c r="B44" s="10" t="s">
        <v>355</v>
      </c>
      <c r="C44" s="10" t="s">
        <v>356</v>
      </c>
      <c r="D44" s="10" t="s">
        <v>115</v>
      </c>
      <c r="E44" s="10" t="str">
        <f>"0,5900"</f>
        <v>0,5900</v>
      </c>
      <c r="F44" s="10" t="s">
        <v>10</v>
      </c>
      <c r="G44" s="18" t="s">
        <v>357</v>
      </c>
      <c r="H44" s="11" t="s">
        <v>62</v>
      </c>
      <c r="I44" s="26">
        <v>36</v>
      </c>
      <c r="J44" s="11" t="str">
        <f>"3510,0"</f>
        <v>3510,0</v>
      </c>
      <c r="K44" s="11" t="str">
        <f>"2070,7246"</f>
        <v>2070,7246</v>
      </c>
      <c r="L44" s="18" t="s">
        <v>26</v>
      </c>
    </row>
    <row r="45" spans="1:12" ht="12.75">
      <c r="A45" s="15" t="s">
        <v>27</v>
      </c>
      <c r="B45" s="14" t="s">
        <v>158</v>
      </c>
      <c r="C45" s="14" t="s">
        <v>159</v>
      </c>
      <c r="D45" s="14" t="s">
        <v>160</v>
      </c>
      <c r="E45" s="14" t="str">
        <f>"0,6036"</f>
        <v>0,6036</v>
      </c>
      <c r="F45" s="14" t="s">
        <v>10</v>
      </c>
      <c r="G45" s="14" t="s">
        <v>83</v>
      </c>
      <c r="H45" s="15" t="s">
        <v>39</v>
      </c>
      <c r="I45" s="27">
        <v>33</v>
      </c>
      <c r="J45" s="15" t="str">
        <f>"3052,5"</f>
        <v>3052,5</v>
      </c>
      <c r="K45" s="15" t="str">
        <f>"1842,6415"</f>
        <v>1842,6415</v>
      </c>
      <c r="L45" s="19" t="s">
        <v>161</v>
      </c>
    </row>
    <row r="46" spans="1:12" ht="12.75">
      <c r="A46" s="15" t="s">
        <v>48</v>
      </c>
      <c r="B46" s="14" t="s">
        <v>220</v>
      </c>
      <c r="C46" s="14" t="s">
        <v>221</v>
      </c>
      <c r="D46" s="14" t="s">
        <v>219</v>
      </c>
      <c r="E46" s="14" t="str">
        <f>"0,6000"</f>
        <v>0,6000</v>
      </c>
      <c r="F46" s="14" t="s">
        <v>10</v>
      </c>
      <c r="G46" s="14" t="s">
        <v>222</v>
      </c>
      <c r="H46" s="15" t="s">
        <v>14</v>
      </c>
      <c r="I46" s="27">
        <v>31</v>
      </c>
      <c r="J46" s="15" t="str">
        <f>"2945,0"</f>
        <v>2945,0</v>
      </c>
      <c r="K46" s="15" t="str">
        <f>"1766,8528"</f>
        <v>1766,8528</v>
      </c>
      <c r="L46" s="19" t="s">
        <v>26</v>
      </c>
    </row>
    <row r="47" spans="1:12" ht="12.75">
      <c r="A47" s="15" t="s">
        <v>50</v>
      </c>
      <c r="B47" s="14" t="s">
        <v>358</v>
      </c>
      <c r="C47" s="14" t="s">
        <v>359</v>
      </c>
      <c r="D47" s="14" t="s">
        <v>82</v>
      </c>
      <c r="E47" s="14" t="str">
        <f>"0,5853"</f>
        <v>0,5853</v>
      </c>
      <c r="F47" s="14" t="s">
        <v>10</v>
      </c>
      <c r="G47" s="14" t="s">
        <v>286</v>
      </c>
      <c r="H47" s="15" t="s">
        <v>41</v>
      </c>
      <c r="I47" s="27">
        <v>30</v>
      </c>
      <c r="J47" s="15" t="str">
        <f>"3000,0"</f>
        <v>3000,0</v>
      </c>
      <c r="K47" s="15" t="str">
        <f>"1756,0499"</f>
        <v>1756,0499</v>
      </c>
      <c r="L47" s="19" t="s">
        <v>26</v>
      </c>
    </row>
    <row r="48" spans="1:12" ht="12.75">
      <c r="A48" s="15" t="s">
        <v>56</v>
      </c>
      <c r="B48" s="14" t="s">
        <v>223</v>
      </c>
      <c r="C48" s="14" t="s">
        <v>224</v>
      </c>
      <c r="D48" s="14" t="s">
        <v>225</v>
      </c>
      <c r="E48" s="14" t="str">
        <f>"0,6058"</f>
        <v>0,6058</v>
      </c>
      <c r="F48" s="14" t="s">
        <v>10</v>
      </c>
      <c r="G48" s="14" t="s">
        <v>11</v>
      </c>
      <c r="H48" s="15" t="s">
        <v>39</v>
      </c>
      <c r="I48" s="27">
        <v>28</v>
      </c>
      <c r="J48" s="15" t="str">
        <f>"2590,0"</f>
        <v>2590,0</v>
      </c>
      <c r="K48" s="15" t="str">
        <f>"1568,8926"</f>
        <v>1568,8926</v>
      </c>
      <c r="L48" s="19" t="s">
        <v>360</v>
      </c>
    </row>
    <row r="49" spans="1:12" ht="12.75">
      <c r="A49" s="15" t="s">
        <v>71</v>
      </c>
      <c r="B49" s="14" t="s">
        <v>361</v>
      </c>
      <c r="C49" s="14" t="s">
        <v>362</v>
      </c>
      <c r="D49" s="14" t="s">
        <v>363</v>
      </c>
      <c r="E49" s="14" t="str">
        <f>"0,6104"</f>
        <v>0,6104</v>
      </c>
      <c r="F49" s="14" t="s">
        <v>10</v>
      </c>
      <c r="G49" s="14" t="s">
        <v>136</v>
      </c>
      <c r="H49" s="15" t="s">
        <v>39</v>
      </c>
      <c r="I49" s="27">
        <v>23</v>
      </c>
      <c r="J49" s="15" t="str">
        <f>"2127,5"</f>
        <v>2127,5</v>
      </c>
      <c r="K49" s="15" t="str">
        <f>"1298,6260"</f>
        <v>1298,6260</v>
      </c>
      <c r="L49" s="19" t="s">
        <v>329</v>
      </c>
    </row>
    <row r="50" spans="1:12" ht="12.75">
      <c r="A50" s="15" t="s">
        <v>17</v>
      </c>
      <c r="B50" s="14" t="s">
        <v>355</v>
      </c>
      <c r="C50" s="14" t="s">
        <v>364</v>
      </c>
      <c r="D50" s="14" t="s">
        <v>115</v>
      </c>
      <c r="E50" s="14" t="str">
        <f>"0,5900"</f>
        <v>0,5900</v>
      </c>
      <c r="F50" s="14" t="s">
        <v>10</v>
      </c>
      <c r="G50" s="14" t="s">
        <v>357</v>
      </c>
      <c r="H50" s="15" t="s">
        <v>62</v>
      </c>
      <c r="I50" s="27">
        <v>36</v>
      </c>
      <c r="J50" s="15" t="str">
        <f>"3510,0"</f>
        <v>3510,0</v>
      </c>
      <c r="K50" s="15" t="str">
        <f>"2304,7165"</f>
        <v>2304,7165</v>
      </c>
      <c r="L50" s="19" t="s">
        <v>26</v>
      </c>
    </row>
    <row r="51" spans="1:12" ht="12.75">
      <c r="A51" s="15" t="s">
        <v>27</v>
      </c>
      <c r="B51" s="14" t="s">
        <v>227</v>
      </c>
      <c r="C51" s="14" t="s">
        <v>365</v>
      </c>
      <c r="D51" s="14" t="s">
        <v>228</v>
      </c>
      <c r="E51" s="14" t="str">
        <f>"0,5917"</f>
        <v>0,5917</v>
      </c>
      <c r="F51" s="19" t="s">
        <v>10</v>
      </c>
      <c r="G51" s="19" t="s">
        <v>229</v>
      </c>
      <c r="H51" s="15" t="s">
        <v>62</v>
      </c>
      <c r="I51" s="27">
        <v>32</v>
      </c>
      <c r="J51" s="15" t="str">
        <f>"3120,0"</f>
        <v>3120,0</v>
      </c>
      <c r="K51" s="15" t="str">
        <f>"1882,8670"</f>
        <v>1882,8670</v>
      </c>
      <c r="L51" s="19" t="s">
        <v>26</v>
      </c>
    </row>
    <row r="52" spans="1:12" ht="12.75">
      <c r="A52" s="15" t="s">
        <v>48</v>
      </c>
      <c r="B52" s="14" t="s">
        <v>366</v>
      </c>
      <c r="C52" s="14" t="s">
        <v>367</v>
      </c>
      <c r="D52" s="14" t="s">
        <v>363</v>
      </c>
      <c r="E52" s="14" t="str">
        <f>"0,6104"</f>
        <v>0,6104</v>
      </c>
      <c r="F52" s="19" t="s">
        <v>61</v>
      </c>
      <c r="G52" s="14" t="s">
        <v>11</v>
      </c>
      <c r="H52" s="15" t="s">
        <v>39</v>
      </c>
      <c r="I52" s="27">
        <v>28</v>
      </c>
      <c r="J52" s="15" t="str">
        <f>"2590,0"</f>
        <v>2590,0</v>
      </c>
      <c r="K52" s="15" t="str">
        <f>"1629,9451"</f>
        <v>1629,9451</v>
      </c>
      <c r="L52" s="19" t="s">
        <v>26</v>
      </c>
    </row>
    <row r="53" spans="1:12" ht="12.75">
      <c r="A53" s="13" t="s">
        <v>50</v>
      </c>
      <c r="B53" s="12" t="s">
        <v>368</v>
      </c>
      <c r="C53" s="12" t="s">
        <v>369</v>
      </c>
      <c r="D53" s="12" t="s">
        <v>370</v>
      </c>
      <c r="E53" s="12" t="str">
        <f>"0,6093"</f>
        <v>0,6093</v>
      </c>
      <c r="F53" s="12" t="s">
        <v>10</v>
      </c>
      <c r="G53" s="12" t="s">
        <v>129</v>
      </c>
      <c r="H53" s="13" t="s">
        <v>39</v>
      </c>
      <c r="I53" s="24">
        <v>26</v>
      </c>
      <c r="J53" s="13" t="str">
        <f>"2405,0"</f>
        <v>2405,0</v>
      </c>
      <c r="K53" s="13" t="str">
        <f>"1528,3773"</f>
        <v>1528,3773</v>
      </c>
      <c r="L53" s="20" t="s">
        <v>26</v>
      </c>
    </row>
    <row r="54" ht="12.75">
      <c r="B54" s="6" t="s">
        <v>23</v>
      </c>
    </row>
    <row r="55" spans="1:11" ht="15">
      <c r="A55" s="31" t="s">
        <v>85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2" ht="12.75">
      <c r="A56" s="11" t="s">
        <v>17</v>
      </c>
      <c r="B56" s="10" t="s">
        <v>232</v>
      </c>
      <c r="C56" s="10" t="s">
        <v>233</v>
      </c>
      <c r="D56" s="10" t="s">
        <v>234</v>
      </c>
      <c r="E56" s="10" t="str">
        <f>"0,5727"</f>
        <v>0,5727</v>
      </c>
      <c r="F56" s="10" t="s">
        <v>10</v>
      </c>
      <c r="G56" s="10" t="s">
        <v>235</v>
      </c>
      <c r="H56" s="11" t="s">
        <v>15</v>
      </c>
      <c r="I56" s="26">
        <v>35</v>
      </c>
      <c r="J56" s="11" t="str">
        <f>"3675,0"</f>
        <v>3675,0</v>
      </c>
      <c r="K56" s="11" t="str">
        <f>"2104,8561"</f>
        <v>2104,8561</v>
      </c>
      <c r="L56" s="18" t="s">
        <v>26</v>
      </c>
    </row>
    <row r="57" spans="1:12" ht="12.75">
      <c r="A57" s="15" t="s">
        <v>27</v>
      </c>
      <c r="B57" s="14" t="s">
        <v>371</v>
      </c>
      <c r="C57" s="14" t="s">
        <v>372</v>
      </c>
      <c r="D57" s="14" t="s">
        <v>373</v>
      </c>
      <c r="E57" s="14" t="str">
        <f>"0,5795"</f>
        <v>0,5795</v>
      </c>
      <c r="F57" s="14" t="s">
        <v>10</v>
      </c>
      <c r="G57" s="14" t="s">
        <v>11</v>
      </c>
      <c r="H57" s="15" t="s">
        <v>42</v>
      </c>
      <c r="I57" s="27">
        <v>32</v>
      </c>
      <c r="J57" s="15" t="str">
        <f>"3280,0"</f>
        <v>3280,0</v>
      </c>
      <c r="K57" s="15" t="str">
        <f>"1900,5960"</f>
        <v>1900,5960</v>
      </c>
      <c r="L57" s="19" t="s">
        <v>26</v>
      </c>
    </row>
    <row r="58" spans="1:12" ht="12.75">
      <c r="A58" s="15" t="s">
        <v>48</v>
      </c>
      <c r="B58" s="14" t="s">
        <v>236</v>
      </c>
      <c r="C58" s="14" t="s">
        <v>237</v>
      </c>
      <c r="D58" s="14" t="s">
        <v>238</v>
      </c>
      <c r="E58" s="14" t="str">
        <f>"0,5658"</f>
        <v>0,5658</v>
      </c>
      <c r="F58" s="14" t="s">
        <v>10</v>
      </c>
      <c r="G58" s="14" t="s">
        <v>83</v>
      </c>
      <c r="H58" s="15" t="s">
        <v>24</v>
      </c>
      <c r="I58" s="27">
        <v>28</v>
      </c>
      <c r="J58" s="15" t="str">
        <f>"3080,0"</f>
        <v>3080,0</v>
      </c>
      <c r="K58" s="15" t="str">
        <f>"1742,6640"</f>
        <v>1742,6640</v>
      </c>
      <c r="L58" s="14" t="s">
        <v>239</v>
      </c>
    </row>
    <row r="59" spans="1:12" ht="12.75">
      <c r="A59" s="15" t="s">
        <v>50</v>
      </c>
      <c r="B59" s="14" t="s">
        <v>240</v>
      </c>
      <c r="C59" s="14" t="s">
        <v>241</v>
      </c>
      <c r="D59" s="14" t="s">
        <v>242</v>
      </c>
      <c r="E59" s="14" t="str">
        <f>"0,5683"</f>
        <v>0,5683</v>
      </c>
      <c r="F59" s="19" t="s">
        <v>113</v>
      </c>
      <c r="G59" s="14" t="s">
        <v>11</v>
      </c>
      <c r="H59" s="15" t="s">
        <v>43</v>
      </c>
      <c r="I59" s="27">
        <v>24</v>
      </c>
      <c r="J59" s="15" t="str">
        <f>"2580,0"</f>
        <v>2580,0</v>
      </c>
      <c r="K59" s="15" t="str">
        <f>"1466,2140"</f>
        <v>1466,2140</v>
      </c>
      <c r="L59" s="19" t="s">
        <v>26</v>
      </c>
    </row>
    <row r="60" spans="1:12" ht="12.75">
      <c r="A60" s="15" t="s">
        <v>17</v>
      </c>
      <c r="B60" s="14" t="s">
        <v>374</v>
      </c>
      <c r="C60" s="14" t="s">
        <v>375</v>
      </c>
      <c r="D60" s="14" t="s">
        <v>376</v>
      </c>
      <c r="E60" s="14" t="str">
        <f>"0,5806"</f>
        <v>0,5806</v>
      </c>
      <c r="F60" s="14" t="s">
        <v>10</v>
      </c>
      <c r="G60" s="14" t="s">
        <v>11</v>
      </c>
      <c r="H60" s="15" t="s">
        <v>42</v>
      </c>
      <c r="I60" s="27">
        <v>31</v>
      </c>
      <c r="J60" s="15" t="str">
        <f>"3177,5"</f>
        <v>3177,5</v>
      </c>
      <c r="K60" s="15" t="str">
        <f>"1844,8566"</f>
        <v>1844,8566</v>
      </c>
      <c r="L60" s="19" t="s">
        <v>26</v>
      </c>
    </row>
    <row r="61" spans="1:12" ht="12.75">
      <c r="A61" s="15" t="s">
        <v>27</v>
      </c>
      <c r="B61" s="14" t="s">
        <v>88</v>
      </c>
      <c r="C61" s="14" t="s">
        <v>377</v>
      </c>
      <c r="D61" s="14" t="s">
        <v>89</v>
      </c>
      <c r="E61" s="14" t="str">
        <f>"0,5647"</f>
        <v>0,5647</v>
      </c>
      <c r="F61" s="14" t="s">
        <v>10</v>
      </c>
      <c r="G61" s="14" t="s">
        <v>83</v>
      </c>
      <c r="H61" s="15" t="s">
        <v>24</v>
      </c>
      <c r="I61" s="27">
        <v>22</v>
      </c>
      <c r="J61" s="15" t="str">
        <f>"2420,0"</f>
        <v>2420,0</v>
      </c>
      <c r="K61" s="15" t="str">
        <f>"1393,9055"</f>
        <v>1393,9055</v>
      </c>
      <c r="L61" s="19" t="s">
        <v>90</v>
      </c>
    </row>
    <row r="62" spans="1:12" ht="12.75">
      <c r="A62" s="15" t="s">
        <v>48</v>
      </c>
      <c r="B62" s="14" t="s">
        <v>246</v>
      </c>
      <c r="C62" s="14" t="s">
        <v>378</v>
      </c>
      <c r="D62" s="14" t="s">
        <v>172</v>
      </c>
      <c r="E62" s="14" t="str">
        <f>"0,5687"</f>
        <v>0,5687</v>
      </c>
      <c r="F62" s="14" t="s">
        <v>10</v>
      </c>
      <c r="G62" s="14" t="s">
        <v>11</v>
      </c>
      <c r="H62" s="15" t="s">
        <v>43</v>
      </c>
      <c r="I62" s="27">
        <v>18</v>
      </c>
      <c r="J62" s="15" t="str">
        <f>"1935,0"</f>
        <v>1935,0</v>
      </c>
      <c r="K62" s="15" t="str">
        <f>"1207,0705"</f>
        <v>1207,0705</v>
      </c>
      <c r="L62" s="19" t="s">
        <v>26</v>
      </c>
    </row>
    <row r="63" spans="1:12" ht="12.75">
      <c r="A63" s="15" t="s">
        <v>50</v>
      </c>
      <c r="B63" s="14" t="s">
        <v>379</v>
      </c>
      <c r="C63" s="14" t="s">
        <v>380</v>
      </c>
      <c r="D63" s="14" t="s">
        <v>87</v>
      </c>
      <c r="E63" s="14" t="str">
        <f>"0,5781"</f>
        <v>0,5781</v>
      </c>
      <c r="F63" s="14" t="s">
        <v>10</v>
      </c>
      <c r="G63" s="14" t="s">
        <v>11</v>
      </c>
      <c r="H63" s="15" t="s">
        <v>42</v>
      </c>
      <c r="I63" s="27">
        <v>17</v>
      </c>
      <c r="J63" s="15" t="str">
        <f>"1742,5"</f>
        <v>1742,5</v>
      </c>
      <c r="K63" s="15" t="str">
        <f>"1027,3972"</f>
        <v>1027,3972</v>
      </c>
      <c r="L63" s="19" t="s">
        <v>26</v>
      </c>
    </row>
    <row r="64" spans="1:12" ht="12.75">
      <c r="A64" s="13" t="s">
        <v>17</v>
      </c>
      <c r="B64" s="12" t="s">
        <v>247</v>
      </c>
      <c r="C64" s="12" t="s">
        <v>381</v>
      </c>
      <c r="D64" s="12" t="s">
        <v>86</v>
      </c>
      <c r="E64" s="12" t="str">
        <f>"0,5634"</f>
        <v>0,5634</v>
      </c>
      <c r="F64" s="12" t="s">
        <v>10</v>
      </c>
      <c r="G64" s="12" t="s">
        <v>11</v>
      </c>
      <c r="H64" s="13" t="s">
        <v>24</v>
      </c>
      <c r="I64" s="24">
        <v>17</v>
      </c>
      <c r="J64" s="13" t="str">
        <f>"1870,0"</f>
        <v>1870,0</v>
      </c>
      <c r="K64" s="13" t="str">
        <f>"1227,2862"</f>
        <v>1227,2862</v>
      </c>
      <c r="L64" s="20" t="s">
        <v>382</v>
      </c>
    </row>
    <row r="65" ht="12.75">
      <c r="B65" s="6" t="s">
        <v>23</v>
      </c>
    </row>
    <row r="66" spans="1:11" ht="15">
      <c r="A66" s="31" t="s">
        <v>91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2" ht="12.75">
      <c r="A67" s="11" t="s">
        <v>17</v>
      </c>
      <c r="B67" s="10" t="s">
        <v>383</v>
      </c>
      <c r="C67" s="10" t="s">
        <v>384</v>
      </c>
      <c r="D67" s="10" t="s">
        <v>385</v>
      </c>
      <c r="E67" s="10" t="str">
        <f>"0,5526"</f>
        <v>0,5526</v>
      </c>
      <c r="F67" s="18" t="s">
        <v>69</v>
      </c>
      <c r="G67" s="18" t="s">
        <v>386</v>
      </c>
      <c r="H67" s="11" t="s">
        <v>44</v>
      </c>
      <c r="I67" s="26">
        <v>25</v>
      </c>
      <c r="J67" s="11" t="str">
        <f>"3000,0"</f>
        <v>3000,0</v>
      </c>
      <c r="K67" s="11" t="str">
        <f>"1657,8001"</f>
        <v>1657,8001</v>
      </c>
      <c r="L67" s="18" t="s">
        <v>387</v>
      </c>
    </row>
    <row r="68" spans="1:12" ht="12.75">
      <c r="A68" s="15" t="s">
        <v>27</v>
      </c>
      <c r="B68" s="14" t="s">
        <v>388</v>
      </c>
      <c r="C68" s="14" t="s">
        <v>389</v>
      </c>
      <c r="D68" s="14" t="s">
        <v>390</v>
      </c>
      <c r="E68" s="14" t="str">
        <f>"0,5472"</f>
        <v>0,5472</v>
      </c>
      <c r="F68" s="14" t="s">
        <v>10</v>
      </c>
      <c r="G68" s="19" t="s">
        <v>202</v>
      </c>
      <c r="H68" s="15" t="s">
        <v>53</v>
      </c>
      <c r="I68" s="27">
        <v>23</v>
      </c>
      <c r="J68" s="15" t="str">
        <f>"2875,0"</f>
        <v>2875,0</v>
      </c>
      <c r="K68" s="15" t="str">
        <f>"1573,2001"</f>
        <v>1573,2001</v>
      </c>
      <c r="L68" s="19" t="s">
        <v>26</v>
      </c>
    </row>
    <row r="69" spans="1:12" ht="12.75">
      <c r="A69" s="15" t="s">
        <v>48</v>
      </c>
      <c r="B69" s="14" t="s">
        <v>165</v>
      </c>
      <c r="C69" s="14" t="s">
        <v>166</v>
      </c>
      <c r="D69" s="14" t="s">
        <v>391</v>
      </c>
      <c r="E69" s="14" t="str">
        <f>"0,5601"</f>
        <v>0,5601</v>
      </c>
      <c r="F69" s="14" t="s">
        <v>137</v>
      </c>
      <c r="G69" s="14" t="s">
        <v>167</v>
      </c>
      <c r="H69" s="15" t="s">
        <v>55</v>
      </c>
      <c r="I69" s="27">
        <v>16</v>
      </c>
      <c r="J69" s="15" t="str">
        <f>"1800,0"</f>
        <v>1800,0</v>
      </c>
      <c r="K69" s="15" t="str">
        <f>"1008,0900"</f>
        <v>1008,0900</v>
      </c>
      <c r="L69" s="19" t="s">
        <v>168</v>
      </c>
    </row>
    <row r="70" spans="1:12" ht="12.75">
      <c r="A70" s="13" t="s">
        <v>17</v>
      </c>
      <c r="B70" s="12" t="s">
        <v>383</v>
      </c>
      <c r="C70" s="12" t="s">
        <v>392</v>
      </c>
      <c r="D70" s="12" t="s">
        <v>385</v>
      </c>
      <c r="E70" s="12" t="str">
        <f>"0,5526"</f>
        <v>0,5526</v>
      </c>
      <c r="F70" s="12" t="s">
        <v>10</v>
      </c>
      <c r="G70" s="12" t="s">
        <v>386</v>
      </c>
      <c r="H70" s="13" t="s">
        <v>44</v>
      </c>
      <c r="I70" s="24">
        <v>25</v>
      </c>
      <c r="J70" s="13" t="str">
        <f>"3000,0"</f>
        <v>3000,0</v>
      </c>
      <c r="K70" s="13" t="str">
        <f>"1793,7397"</f>
        <v>1793,7397</v>
      </c>
      <c r="L70" s="20" t="s">
        <v>387</v>
      </c>
    </row>
    <row r="71" ht="12.75">
      <c r="B71" s="6" t="s">
        <v>23</v>
      </c>
    </row>
    <row r="72" spans="1:11" ht="15">
      <c r="A72" s="31" t="s">
        <v>94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2" ht="12.75">
      <c r="A73" s="9" t="s">
        <v>17</v>
      </c>
      <c r="B73" s="8" t="s">
        <v>248</v>
      </c>
      <c r="C73" s="8" t="s">
        <v>393</v>
      </c>
      <c r="D73" s="8" t="s">
        <v>249</v>
      </c>
      <c r="E73" s="8" t="str">
        <f>"0,5217"</f>
        <v>0,5217</v>
      </c>
      <c r="F73" s="8" t="s">
        <v>10</v>
      </c>
      <c r="G73" s="8" t="s">
        <v>250</v>
      </c>
      <c r="H73" s="9" t="s">
        <v>77</v>
      </c>
      <c r="I73" s="23">
        <v>19</v>
      </c>
      <c r="J73" s="9" t="str">
        <f>"2897,5"</f>
        <v>2897,5</v>
      </c>
      <c r="K73" s="9" t="str">
        <f>"1614,4937"</f>
        <v>1614,4937</v>
      </c>
      <c r="L73" s="21" t="s">
        <v>26</v>
      </c>
    </row>
    <row r="74" ht="12.75">
      <c r="B74" s="6" t="s">
        <v>23</v>
      </c>
    </row>
    <row r="75" ht="12.75">
      <c r="B75" s="6" t="s">
        <v>23</v>
      </c>
    </row>
    <row r="76" spans="2:4" ht="18">
      <c r="B76" s="6" t="s">
        <v>23</v>
      </c>
      <c r="C76" s="16" t="s">
        <v>98</v>
      </c>
      <c r="D76" s="16"/>
    </row>
    <row r="77" spans="2:4" ht="15">
      <c r="B77" s="6" t="s">
        <v>23</v>
      </c>
      <c r="C77" s="29" t="s">
        <v>102</v>
      </c>
      <c r="D77" s="29"/>
    </row>
    <row r="78" spans="2:4" ht="14.25">
      <c r="B78" s="6" t="s">
        <v>23</v>
      </c>
      <c r="C78" s="17"/>
      <c r="D78" s="17" t="s">
        <v>99</v>
      </c>
    </row>
    <row r="79" spans="2:7" ht="15">
      <c r="B79" s="6" t="s">
        <v>23</v>
      </c>
      <c r="C79" s="5" t="s">
        <v>1</v>
      </c>
      <c r="D79" s="5" t="s">
        <v>100</v>
      </c>
      <c r="E79" s="5" t="s">
        <v>101</v>
      </c>
      <c r="F79" s="5" t="s">
        <v>6</v>
      </c>
      <c r="G79" s="5" t="s">
        <v>287</v>
      </c>
    </row>
    <row r="80" spans="2:7" ht="12.75">
      <c r="B80" s="6" t="s">
        <v>23</v>
      </c>
      <c r="C80" s="6" t="s">
        <v>347</v>
      </c>
      <c r="D80" s="6" t="s">
        <v>99</v>
      </c>
      <c r="E80" s="7" t="s">
        <v>13</v>
      </c>
      <c r="F80" s="7" t="s">
        <v>394</v>
      </c>
      <c r="G80" s="7" t="s">
        <v>395</v>
      </c>
    </row>
    <row r="81" spans="2:7" ht="12.75">
      <c r="B81" s="6" t="s">
        <v>23</v>
      </c>
      <c r="C81" s="6" t="s">
        <v>232</v>
      </c>
      <c r="D81" s="6" t="s">
        <v>99</v>
      </c>
      <c r="E81" s="7" t="s">
        <v>24</v>
      </c>
      <c r="F81" s="7" t="s">
        <v>396</v>
      </c>
      <c r="G81" s="7" t="s">
        <v>397</v>
      </c>
    </row>
    <row r="82" spans="2:7" ht="12.75">
      <c r="B82" s="6" t="s">
        <v>23</v>
      </c>
      <c r="C82" s="6" t="s">
        <v>355</v>
      </c>
      <c r="D82" s="6" t="s">
        <v>99</v>
      </c>
      <c r="E82" s="7" t="s">
        <v>41</v>
      </c>
      <c r="F82" s="7" t="s">
        <v>398</v>
      </c>
      <c r="G82" s="7" t="s">
        <v>399</v>
      </c>
    </row>
    <row r="83" ht="12.75">
      <c r="B83" s="6" t="s">
        <v>23</v>
      </c>
    </row>
    <row r="84" spans="2:4" ht="14.25">
      <c r="B84" s="6" t="s">
        <v>23</v>
      </c>
      <c r="C84" s="17"/>
      <c r="D84" s="17" t="s">
        <v>400</v>
      </c>
    </row>
    <row r="85" spans="2:7" ht="15">
      <c r="B85" s="6" t="s">
        <v>23</v>
      </c>
      <c r="C85" s="5" t="s">
        <v>1</v>
      </c>
      <c r="D85" s="5" t="s">
        <v>100</v>
      </c>
      <c r="E85" s="5" t="s">
        <v>101</v>
      </c>
      <c r="F85" s="5" t="s">
        <v>6</v>
      </c>
      <c r="G85" s="5" t="s">
        <v>287</v>
      </c>
    </row>
    <row r="86" spans="2:7" ht="12.75">
      <c r="B86" s="6" t="s">
        <v>23</v>
      </c>
      <c r="C86" s="6" t="s">
        <v>355</v>
      </c>
      <c r="D86" s="6" t="s">
        <v>401</v>
      </c>
      <c r="E86" s="7" t="s">
        <v>41</v>
      </c>
      <c r="F86" s="7" t="s">
        <v>398</v>
      </c>
      <c r="G86" s="7" t="s">
        <v>402</v>
      </c>
    </row>
    <row r="87" spans="2:7" ht="12.75">
      <c r="B87" s="6" t="s">
        <v>23</v>
      </c>
      <c r="C87" s="6" t="s">
        <v>188</v>
      </c>
      <c r="D87" s="6" t="s">
        <v>403</v>
      </c>
      <c r="E87" s="7" t="s">
        <v>139</v>
      </c>
      <c r="F87" s="7" t="s">
        <v>404</v>
      </c>
      <c r="G87" s="7" t="s">
        <v>405</v>
      </c>
    </row>
    <row r="88" spans="2:7" ht="12.75">
      <c r="B88" s="6" t="s">
        <v>23</v>
      </c>
      <c r="C88" s="6" t="s">
        <v>339</v>
      </c>
      <c r="D88" s="6" t="s">
        <v>401</v>
      </c>
      <c r="E88" s="7" t="s">
        <v>31</v>
      </c>
      <c r="F88" s="7" t="s">
        <v>406</v>
      </c>
      <c r="G88" s="7" t="s">
        <v>407</v>
      </c>
    </row>
    <row r="89" ht="12.75">
      <c r="B89" s="6" t="s">
        <v>23</v>
      </c>
    </row>
  </sheetData>
  <sheetProtection/>
  <mergeCells count="23">
    <mergeCell ref="A1:L2"/>
    <mergeCell ref="A3:A4"/>
    <mergeCell ref="C3:C4"/>
    <mergeCell ref="D3:D4"/>
    <mergeCell ref="E3:E4"/>
    <mergeCell ref="F3:F4"/>
    <mergeCell ref="G3:G4"/>
    <mergeCell ref="H3:I3"/>
    <mergeCell ref="K3:K4"/>
    <mergeCell ref="L3:L4"/>
    <mergeCell ref="A66:K66"/>
    <mergeCell ref="A72:K72"/>
    <mergeCell ref="B3:B4"/>
    <mergeCell ref="A14:K14"/>
    <mergeCell ref="A17:K17"/>
    <mergeCell ref="A28:K28"/>
    <mergeCell ref="A35:K35"/>
    <mergeCell ref="A43:K43"/>
    <mergeCell ref="A55:K55"/>
    <mergeCell ref="J3:J4"/>
    <mergeCell ref="A5:K5"/>
    <mergeCell ref="A8:K8"/>
    <mergeCell ref="A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3" sqref="A3:A4"/>
    </sheetView>
  </sheetViews>
  <sheetFormatPr defaultColWidth="9.125" defaultRowHeight="12.75"/>
  <cols>
    <col min="1" max="1" width="6.375" style="7" bestFit="1" customWidth="1"/>
    <col min="2" max="2" width="22.25390625" style="6" customWidth="1"/>
    <col min="3" max="3" width="27.00390625" style="6" bestFit="1" customWidth="1"/>
    <col min="4" max="4" width="10.375" style="6" bestFit="1" customWidth="1"/>
    <col min="5" max="5" width="10.375" style="6" customWidth="1"/>
    <col min="6" max="6" width="17.25390625" style="6" bestFit="1" customWidth="1"/>
    <col min="7" max="7" width="23.00390625" style="6" customWidth="1"/>
    <col min="8" max="8" width="17.25390625" style="7" customWidth="1"/>
    <col min="9" max="9" width="17.25390625" style="22" customWidth="1"/>
    <col min="10" max="10" width="9.125" style="7" customWidth="1"/>
    <col min="11" max="11" width="10.75390625" style="7" customWidth="1"/>
    <col min="12" max="12" width="19.25390625" style="6" customWidth="1"/>
    <col min="13" max="16384" width="9.125" style="3" customWidth="1"/>
  </cols>
  <sheetData>
    <row r="1" spans="1:12" s="2" customFormat="1" ht="28.5" customHeight="1">
      <c r="A1" s="32" t="s">
        <v>408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4" t="s">
        <v>1</v>
      </c>
      <c r="C3" s="42" t="s">
        <v>2</v>
      </c>
      <c r="D3" s="42" t="s">
        <v>3</v>
      </c>
      <c r="E3" s="44" t="s">
        <v>287</v>
      </c>
      <c r="F3" s="44" t="s">
        <v>4</v>
      </c>
      <c r="G3" s="44" t="s">
        <v>5</v>
      </c>
      <c r="H3" s="44" t="s">
        <v>294</v>
      </c>
      <c r="I3" s="44"/>
      <c r="J3" s="44" t="s">
        <v>173</v>
      </c>
      <c r="K3" s="44" t="s">
        <v>7</v>
      </c>
      <c r="L3" s="45" t="s">
        <v>8</v>
      </c>
    </row>
    <row r="4" spans="1:12" s="1" customFormat="1" ht="23.25" customHeight="1" thickBot="1">
      <c r="A4" s="41"/>
      <c r="B4" s="47"/>
      <c r="C4" s="43"/>
      <c r="D4" s="43"/>
      <c r="E4" s="43"/>
      <c r="F4" s="43"/>
      <c r="G4" s="43"/>
      <c r="H4" s="30" t="s">
        <v>295</v>
      </c>
      <c r="I4" s="25" t="s">
        <v>296</v>
      </c>
      <c r="J4" s="43"/>
      <c r="K4" s="43"/>
      <c r="L4" s="46"/>
    </row>
    <row r="5" spans="1:12" s="4" customFormat="1" ht="15">
      <c r="A5" s="31" t="s">
        <v>45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</row>
    <row r="6" spans="1:12" s="4" customFormat="1" ht="12.75">
      <c r="A6" s="11" t="s">
        <v>17</v>
      </c>
      <c r="B6" s="10" t="s">
        <v>409</v>
      </c>
      <c r="C6" s="10" t="s">
        <v>410</v>
      </c>
      <c r="D6" s="10" t="s">
        <v>411</v>
      </c>
      <c r="E6" s="10" t="str">
        <f>"1,0321"</f>
        <v>1,0321</v>
      </c>
      <c r="F6" s="10" t="s">
        <v>10</v>
      </c>
      <c r="G6" s="10" t="s">
        <v>151</v>
      </c>
      <c r="H6" s="11" t="s">
        <v>175</v>
      </c>
      <c r="I6" s="26">
        <v>56</v>
      </c>
      <c r="J6" s="11" t="str">
        <f>"1680,0"</f>
        <v>1680,0</v>
      </c>
      <c r="K6" s="11" t="str">
        <f>"1733,9279"</f>
        <v>1733,9279</v>
      </c>
      <c r="L6" s="18" t="s">
        <v>412</v>
      </c>
    </row>
    <row r="7" spans="1:12" s="4" customFormat="1" ht="12.75">
      <c r="A7" s="13" t="s">
        <v>27</v>
      </c>
      <c r="B7" s="12" t="s">
        <v>413</v>
      </c>
      <c r="C7" s="12" t="s">
        <v>292</v>
      </c>
      <c r="D7" s="12" t="s">
        <v>288</v>
      </c>
      <c r="E7" s="12" t="str">
        <f>"1,0135"</f>
        <v>1,0135</v>
      </c>
      <c r="F7" s="12" t="s">
        <v>10</v>
      </c>
      <c r="G7" s="12" t="s">
        <v>151</v>
      </c>
      <c r="H7" s="13" t="s">
        <v>175</v>
      </c>
      <c r="I7" s="24">
        <v>10</v>
      </c>
      <c r="J7" s="13" t="str">
        <f>"300,0"</f>
        <v>300,0</v>
      </c>
      <c r="K7" s="13" t="str">
        <f>"304,0500"</f>
        <v>304,0500</v>
      </c>
      <c r="L7" s="20" t="s">
        <v>412</v>
      </c>
    </row>
    <row r="8" ht="12.75">
      <c r="B8" s="6" t="s">
        <v>23</v>
      </c>
    </row>
    <row r="9" spans="1:11" ht="15">
      <c r="A9" s="31" t="s">
        <v>51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ht="12.75">
      <c r="A10" s="9" t="s">
        <v>17</v>
      </c>
      <c r="B10" s="8" t="s">
        <v>414</v>
      </c>
      <c r="C10" s="8" t="s">
        <v>415</v>
      </c>
      <c r="D10" s="8" t="s">
        <v>253</v>
      </c>
      <c r="E10" s="8" t="str">
        <f>"0,9392"</f>
        <v>0,9392</v>
      </c>
      <c r="F10" s="8" t="s">
        <v>10</v>
      </c>
      <c r="G10" s="21" t="s">
        <v>202</v>
      </c>
      <c r="H10" s="9" t="s">
        <v>304</v>
      </c>
      <c r="I10" s="23">
        <v>11</v>
      </c>
      <c r="J10" s="9" t="str">
        <f>"357,5"</f>
        <v>357,5</v>
      </c>
      <c r="K10" s="9" t="str">
        <f>"335,7640"</f>
        <v>335,7640</v>
      </c>
      <c r="L10" s="21" t="s">
        <v>416</v>
      </c>
    </row>
    <row r="11" ht="12.75">
      <c r="B11" s="6" t="s">
        <v>23</v>
      </c>
    </row>
    <row r="12" spans="1:11" ht="15">
      <c r="A12" s="3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2" ht="12.75">
      <c r="A13" s="9" t="s">
        <v>17</v>
      </c>
      <c r="B13" s="8" t="s">
        <v>417</v>
      </c>
      <c r="C13" s="8" t="s">
        <v>418</v>
      </c>
      <c r="D13" s="8" t="s">
        <v>199</v>
      </c>
      <c r="E13" s="8" t="str">
        <f>"0,6969"</f>
        <v>0,6969</v>
      </c>
      <c r="F13" s="8" t="s">
        <v>69</v>
      </c>
      <c r="G13" s="8" t="s">
        <v>162</v>
      </c>
      <c r="H13" s="9" t="s">
        <v>22</v>
      </c>
      <c r="I13" s="23">
        <v>30</v>
      </c>
      <c r="J13" s="9" t="str">
        <f>"1125,0"</f>
        <v>1125,0</v>
      </c>
      <c r="K13" s="9" t="str">
        <f>"783,9563"</f>
        <v>783,9563</v>
      </c>
      <c r="L13" s="21" t="s">
        <v>163</v>
      </c>
    </row>
    <row r="14" ht="12.75">
      <c r="B14" s="6" t="s">
        <v>23</v>
      </c>
    </row>
    <row r="15" spans="1:12" s="4" customFormat="1" ht="15">
      <c r="A15" s="31" t="s">
        <v>76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6"/>
    </row>
    <row r="16" spans="1:12" s="4" customFormat="1" ht="12.75">
      <c r="A16" s="9" t="s">
        <v>17</v>
      </c>
      <c r="B16" s="8" t="s">
        <v>419</v>
      </c>
      <c r="C16" s="8" t="s">
        <v>420</v>
      </c>
      <c r="D16" s="8" t="s">
        <v>421</v>
      </c>
      <c r="E16" s="8" t="str">
        <f>"0,6761"</f>
        <v>0,6761</v>
      </c>
      <c r="F16" s="8" t="s">
        <v>10</v>
      </c>
      <c r="G16" s="8" t="s">
        <v>92</v>
      </c>
      <c r="H16" s="9" t="s">
        <v>36</v>
      </c>
      <c r="I16" s="23">
        <v>70</v>
      </c>
      <c r="J16" s="9" t="str">
        <f>"2800,0"</f>
        <v>2800,0</v>
      </c>
      <c r="K16" s="9" t="str">
        <f>"3398,0787"</f>
        <v>3398,0787</v>
      </c>
      <c r="L16" s="21" t="s">
        <v>26</v>
      </c>
    </row>
  </sheetData>
  <sheetProtection/>
  <mergeCells count="16">
    <mergeCell ref="A15:K15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5:K5"/>
    <mergeCell ref="A9:K9"/>
    <mergeCell ref="A12:K12"/>
    <mergeCell ref="B3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F26" sqref="F26"/>
    </sheetView>
  </sheetViews>
  <sheetFormatPr defaultColWidth="9.125" defaultRowHeight="12.75"/>
  <cols>
    <col min="1" max="1" width="6.375" style="7" bestFit="1" customWidth="1"/>
    <col min="2" max="2" width="25.25390625" style="6" bestFit="1" customWidth="1"/>
    <col min="3" max="3" width="29.25390625" style="6" customWidth="1"/>
    <col min="4" max="4" width="12.875" style="6" bestFit="1" customWidth="1"/>
    <col min="5" max="5" width="6.875" style="6" bestFit="1" customWidth="1"/>
    <col min="6" max="6" width="34.125" style="6" customWidth="1"/>
    <col min="7" max="7" width="23.75390625" style="6" customWidth="1"/>
    <col min="8" max="8" width="16.25390625" style="7" customWidth="1"/>
    <col min="9" max="9" width="16.25390625" style="22" customWidth="1"/>
    <col min="10" max="10" width="10.375" style="7" customWidth="1"/>
    <col min="11" max="11" width="12.00390625" style="7" customWidth="1"/>
    <col min="12" max="12" width="23.25390625" style="6" customWidth="1"/>
    <col min="13" max="16384" width="9.125" style="3" customWidth="1"/>
  </cols>
  <sheetData>
    <row r="1" spans="1:12" s="2" customFormat="1" ht="28.5" customHeight="1">
      <c r="A1" s="32" t="s">
        <v>422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12.75" customHeight="1">
      <c r="A3" s="40" t="s">
        <v>0</v>
      </c>
      <c r="B3" s="44" t="s">
        <v>1</v>
      </c>
      <c r="C3" s="42" t="s">
        <v>2</v>
      </c>
      <c r="D3" s="42" t="s">
        <v>3</v>
      </c>
      <c r="E3" s="44" t="s">
        <v>287</v>
      </c>
      <c r="F3" s="44" t="s">
        <v>4</v>
      </c>
      <c r="G3" s="44" t="s">
        <v>5</v>
      </c>
      <c r="H3" s="44" t="s">
        <v>294</v>
      </c>
      <c r="I3" s="44"/>
      <c r="J3" s="44" t="s">
        <v>173</v>
      </c>
      <c r="K3" s="44" t="s">
        <v>7</v>
      </c>
      <c r="L3" s="45" t="s">
        <v>8</v>
      </c>
    </row>
    <row r="4" spans="1:12" s="1" customFormat="1" ht="23.25" customHeight="1" thickBot="1">
      <c r="A4" s="41"/>
      <c r="B4" s="47"/>
      <c r="C4" s="43"/>
      <c r="D4" s="43"/>
      <c r="E4" s="43"/>
      <c r="F4" s="43"/>
      <c r="G4" s="43"/>
      <c r="H4" s="30" t="s">
        <v>295</v>
      </c>
      <c r="I4" s="25" t="s">
        <v>296</v>
      </c>
      <c r="J4" s="43"/>
      <c r="K4" s="43"/>
      <c r="L4" s="46"/>
    </row>
    <row r="5" spans="1:12" s="4" customFormat="1" ht="15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</row>
    <row r="6" spans="1:12" s="4" customFormat="1" ht="12.75">
      <c r="A6" s="9" t="s">
        <v>17</v>
      </c>
      <c r="B6" s="8" t="s">
        <v>252</v>
      </c>
      <c r="C6" s="8" t="s">
        <v>423</v>
      </c>
      <c r="D6" s="8" t="s">
        <v>253</v>
      </c>
      <c r="E6" s="8" t="str">
        <f>"0,7851"</f>
        <v>0,7851</v>
      </c>
      <c r="F6" s="21" t="s">
        <v>103</v>
      </c>
      <c r="G6" s="8" t="s">
        <v>213</v>
      </c>
      <c r="H6" s="9" t="s">
        <v>19</v>
      </c>
      <c r="I6" s="23">
        <v>27</v>
      </c>
      <c r="J6" s="9" t="str">
        <f>"1755,0"</f>
        <v>1755,0</v>
      </c>
      <c r="K6" s="9" t="str">
        <f>"1377,9382"</f>
        <v>1377,9382</v>
      </c>
      <c r="L6" s="21" t="s">
        <v>26</v>
      </c>
    </row>
    <row r="7" spans="1:12" s="4" customFormat="1" ht="12.75">
      <c r="A7" s="7"/>
      <c r="B7" s="6" t="s">
        <v>23</v>
      </c>
      <c r="C7" s="6"/>
      <c r="D7" s="6"/>
      <c r="E7" s="6"/>
      <c r="F7" s="6"/>
      <c r="G7" s="6"/>
      <c r="H7" s="7"/>
      <c r="I7" s="22"/>
      <c r="J7" s="7"/>
      <c r="K7" s="7"/>
      <c r="L7" s="6"/>
    </row>
    <row r="8" spans="1:11" ht="15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12.75">
      <c r="A9" s="11" t="s">
        <v>17</v>
      </c>
      <c r="B9" s="10" t="s">
        <v>424</v>
      </c>
      <c r="C9" s="10" t="s">
        <v>425</v>
      </c>
      <c r="D9" s="10" t="s">
        <v>141</v>
      </c>
      <c r="E9" s="10" t="str">
        <f>"0,6940"</f>
        <v>0,6940</v>
      </c>
      <c r="F9" s="10" t="s">
        <v>10</v>
      </c>
      <c r="G9" s="10" t="s">
        <v>426</v>
      </c>
      <c r="H9" s="11" t="s">
        <v>49</v>
      </c>
      <c r="I9" s="26">
        <v>100</v>
      </c>
      <c r="J9" s="11" t="str">
        <f>"7500,0"</f>
        <v>7500,0</v>
      </c>
      <c r="K9" s="11" t="str">
        <f>"5205,0000"</f>
        <v>5205,0000</v>
      </c>
      <c r="L9" s="18" t="s">
        <v>26</v>
      </c>
    </row>
    <row r="10" spans="1:12" ht="12.75">
      <c r="A10" s="15" t="s">
        <v>27</v>
      </c>
      <c r="B10" s="14" t="s">
        <v>142</v>
      </c>
      <c r="C10" s="14" t="s">
        <v>143</v>
      </c>
      <c r="D10" s="14" t="s">
        <v>144</v>
      </c>
      <c r="E10" s="14" t="str">
        <f>"0,6913"</f>
        <v>0,6913</v>
      </c>
      <c r="F10" s="14" t="s">
        <v>95</v>
      </c>
      <c r="G10" s="14" t="s">
        <v>96</v>
      </c>
      <c r="H10" s="15" t="s">
        <v>49</v>
      </c>
      <c r="I10" s="27">
        <v>36</v>
      </c>
      <c r="J10" s="15" t="str">
        <f>"2700,0"</f>
        <v>2700,0</v>
      </c>
      <c r="K10" s="15" t="str">
        <f>"1866,3751"</f>
        <v>1866,3751</v>
      </c>
      <c r="L10" s="19" t="s">
        <v>97</v>
      </c>
    </row>
    <row r="11" spans="1:12" ht="12.75">
      <c r="A11" s="15" t="s">
        <v>48</v>
      </c>
      <c r="B11" s="14" t="s">
        <v>427</v>
      </c>
      <c r="C11" s="14" t="s">
        <v>428</v>
      </c>
      <c r="D11" s="14" t="s">
        <v>199</v>
      </c>
      <c r="E11" s="14" t="str">
        <f>"0,6969"</f>
        <v>0,6969</v>
      </c>
      <c r="F11" s="19" t="s">
        <v>69</v>
      </c>
      <c r="G11" s="14" t="s">
        <v>162</v>
      </c>
      <c r="H11" s="15" t="s">
        <v>49</v>
      </c>
      <c r="I11" s="27">
        <v>31</v>
      </c>
      <c r="J11" s="15" t="str">
        <f>"2325,0"</f>
        <v>2325,0</v>
      </c>
      <c r="K11" s="15" t="str">
        <f>"1620,1763"</f>
        <v>1620,1763</v>
      </c>
      <c r="L11" s="19" t="s">
        <v>163</v>
      </c>
    </row>
    <row r="12" spans="1:12" ht="12.75">
      <c r="A12" s="13" t="s">
        <v>50</v>
      </c>
      <c r="B12" s="12" t="s">
        <v>324</v>
      </c>
      <c r="C12" s="12" t="s">
        <v>325</v>
      </c>
      <c r="D12" s="12" t="s">
        <v>140</v>
      </c>
      <c r="E12" s="12" t="str">
        <f>"0,6920"</f>
        <v>0,6920</v>
      </c>
      <c r="F12" s="12" t="s">
        <v>10</v>
      </c>
      <c r="G12" s="12" t="s">
        <v>286</v>
      </c>
      <c r="H12" s="13" t="s">
        <v>49</v>
      </c>
      <c r="I12" s="24">
        <v>20</v>
      </c>
      <c r="J12" s="13" t="str">
        <f>"1500,0"</f>
        <v>1500,0</v>
      </c>
      <c r="K12" s="13" t="str">
        <f>"1037,9250"</f>
        <v>1037,9250</v>
      </c>
      <c r="L12" s="20" t="s">
        <v>326</v>
      </c>
    </row>
    <row r="13" ht="12.75">
      <c r="B13" s="6" t="s">
        <v>23</v>
      </c>
    </row>
    <row r="14" spans="1:11" ht="15">
      <c r="A14" s="31" t="s">
        <v>76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2" ht="12.75">
      <c r="A15" s="11" t="s">
        <v>17</v>
      </c>
      <c r="B15" s="10" t="s">
        <v>429</v>
      </c>
      <c r="C15" s="10" t="s">
        <v>430</v>
      </c>
      <c r="D15" s="10" t="s">
        <v>431</v>
      </c>
      <c r="E15" s="10" t="str">
        <f>"0,6641"</f>
        <v>0,6641</v>
      </c>
      <c r="F15" s="10" t="s">
        <v>10</v>
      </c>
      <c r="G15" s="10" t="s">
        <v>151</v>
      </c>
      <c r="H15" s="11" t="s">
        <v>33</v>
      </c>
      <c r="I15" s="26">
        <v>78</v>
      </c>
      <c r="J15" s="11" t="str">
        <f>"6240,0"</f>
        <v>6240,0</v>
      </c>
      <c r="K15" s="11" t="str">
        <f>"4143,9839"</f>
        <v>4143,9839</v>
      </c>
      <c r="L15" s="18" t="s">
        <v>26</v>
      </c>
    </row>
    <row r="16" spans="1:12" ht="12.75">
      <c r="A16" s="15" t="s">
        <v>27</v>
      </c>
      <c r="B16" s="14" t="s">
        <v>432</v>
      </c>
      <c r="C16" s="14" t="s">
        <v>433</v>
      </c>
      <c r="D16" s="14" t="s">
        <v>421</v>
      </c>
      <c r="E16" s="14" t="str">
        <f>"0,6761"</f>
        <v>0,6761</v>
      </c>
      <c r="F16" s="19" t="s">
        <v>103</v>
      </c>
      <c r="G16" s="14" t="s">
        <v>434</v>
      </c>
      <c r="H16" s="15" t="s">
        <v>37</v>
      </c>
      <c r="I16" s="27">
        <v>73</v>
      </c>
      <c r="J16" s="15" t="str">
        <f>"5657,5"</f>
        <v>5657,5</v>
      </c>
      <c r="K16" s="15" t="str">
        <f>"3825,0358"</f>
        <v>3825,0358</v>
      </c>
      <c r="L16" s="19" t="s">
        <v>26</v>
      </c>
    </row>
    <row r="17" spans="1:12" ht="12.75">
      <c r="A17" s="15" t="s">
        <v>48</v>
      </c>
      <c r="B17" s="14" t="s">
        <v>259</v>
      </c>
      <c r="C17" s="14" t="s">
        <v>260</v>
      </c>
      <c r="D17" s="14" t="s">
        <v>106</v>
      </c>
      <c r="E17" s="14" t="str">
        <f>"0,6482"</f>
        <v>0,6482</v>
      </c>
      <c r="F17" s="14" t="s">
        <v>10</v>
      </c>
      <c r="G17" s="14" t="s">
        <v>11</v>
      </c>
      <c r="H17" s="15" t="s">
        <v>31</v>
      </c>
      <c r="I17" s="27">
        <v>35</v>
      </c>
      <c r="J17" s="15" t="str">
        <f>"2887,5"</f>
        <v>2887,5</v>
      </c>
      <c r="K17" s="15" t="str">
        <f>"1871,6774"</f>
        <v>1871,6774</v>
      </c>
      <c r="L17" s="19" t="s">
        <v>26</v>
      </c>
    </row>
    <row r="18" spans="1:12" ht="12.75">
      <c r="A18" s="15" t="s">
        <v>50</v>
      </c>
      <c r="B18" s="14" t="s">
        <v>435</v>
      </c>
      <c r="C18" s="14" t="s">
        <v>436</v>
      </c>
      <c r="D18" s="14" t="s">
        <v>437</v>
      </c>
      <c r="E18" s="14" t="str">
        <f>"0,6682"</f>
        <v>0,6682</v>
      </c>
      <c r="F18" s="14" t="s">
        <v>10</v>
      </c>
      <c r="G18" s="14" t="s">
        <v>11</v>
      </c>
      <c r="H18" s="15" t="s">
        <v>33</v>
      </c>
      <c r="I18" s="27">
        <v>32</v>
      </c>
      <c r="J18" s="15" t="str">
        <f>"2560,0"</f>
        <v>2560,0</v>
      </c>
      <c r="K18" s="15" t="str">
        <f>"1710,4640"</f>
        <v>1710,4640</v>
      </c>
      <c r="L18" s="19" t="s">
        <v>26</v>
      </c>
    </row>
    <row r="19" spans="1:12" ht="12.75">
      <c r="A19" s="15" t="s">
        <v>56</v>
      </c>
      <c r="B19" s="14" t="s">
        <v>438</v>
      </c>
      <c r="C19" s="14" t="s">
        <v>439</v>
      </c>
      <c r="D19" s="14" t="s">
        <v>145</v>
      </c>
      <c r="E19" s="14" t="str">
        <f>"0,6819"</f>
        <v>0,6819</v>
      </c>
      <c r="F19" s="14" t="s">
        <v>10</v>
      </c>
      <c r="G19" s="14" t="s">
        <v>440</v>
      </c>
      <c r="H19" s="15" t="s">
        <v>37</v>
      </c>
      <c r="I19" s="27">
        <v>32</v>
      </c>
      <c r="J19" s="15" t="str">
        <f>"2480,0"</f>
        <v>2480,0</v>
      </c>
      <c r="K19" s="15" t="str">
        <f>"1691,1121"</f>
        <v>1691,1121</v>
      </c>
      <c r="L19" s="19" t="s">
        <v>26</v>
      </c>
    </row>
    <row r="20" spans="1:12" ht="12.75">
      <c r="A20" s="15" t="s">
        <v>71</v>
      </c>
      <c r="B20" s="14" t="s">
        <v>147</v>
      </c>
      <c r="C20" s="14" t="s">
        <v>148</v>
      </c>
      <c r="D20" s="14" t="s">
        <v>441</v>
      </c>
      <c r="E20" s="14" t="str">
        <f>"0,6461"</f>
        <v>0,6461</v>
      </c>
      <c r="F20" s="14" t="s">
        <v>95</v>
      </c>
      <c r="G20" s="14" t="s">
        <v>96</v>
      </c>
      <c r="H20" s="15" t="s">
        <v>31</v>
      </c>
      <c r="I20" s="27">
        <v>28</v>
      </c>
      <c r="J20" s="15" t="str">
        <f>"2310,0"</f>
        <v>2310,0</v>
      </c>
      <c r="K20" s="15" t="str">
        <f>"1492,6065"</f>
        <v>1492,6065</v>
      </c>
      <c r="L20" s="19" t="s">
        <v>97</v>
      </c>
    </row>
    <row r="21" spans="1:12" ht="12.75">
      <c r="A21" s="13" t="s">
        <v>72</v>
      </c>
      <c r="B21" s="12" t="s">
        <v>255</v>
      </c>
      <c r="C21" s="12" t="s">
        <v>256</v>
      </c>
      <c r="D21" s="12" t="s">
        <v>146</v>
      </c>
      <c r="E21" s="12" t="str">
        <f>"0,6471"</f>
        <v>0,6471</v>
      </c>
      <c r="F21" s="12" t="s">
        <v>10</v>
      </c>
      <c r="G21" s="12" t="s">
        <v>257</v>
      </c>
      <c r="H21" s="13" t="s">
        <v>31</v>
      </c>
      <c r="I21" s="24">
        <v>27</v>
      </c>
      <c r="J21" s="13" t="str">
        <f>"2227,5"</f>
        <v>2227,5</v>
      </c>
      <c r="K21" s="13" t="str">
        <f>"1441,5266"</f>
        <v>1441,5266</v>
      </c>
      <c r="L21" s="20" t="s">
        <v>258</v>
      </c>
    </row>
    <row r="22" ht="12.75">
      <c r="B22" s="6" t="s">
        <v>23</v>
      </c>
    </row>
    <row r="23" spans="1:11" ht="15">
      <c r="A23" s="31" t="s">
        <v>79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ht="12.75">
      <c r="A24" s="11" t="s">
        <v>17</v>
      </c>
      <c r="B24" s="10" t="s">
        <v>442</v>
      </c>
      <c r="C24" s="10" t="s">
        <v>443</v>
      </c>
      <c r="D24" s="10" t="s">
        <v>444</v>
      </c>
      <c r="E24" s="10" t="str">
        <f>"0,6209"</f>
        <v>0,6209</v>
      </c>
      <c r="F24" s="18" t="s">
        <v>445</v>
      </c>
      <c r="G24" s="10" t="s">
        <v>150</v>
      </c>
      <c r="H24" s="11" t="s">
        <v>13</v>
      </c>
      <c r="I24" s="26">
        <v>38</v>
      </c>
      <c r="J24" s="11" t="str">
        <f>"3420,0"</f>
        <v>3420,0</v>
      </c>
      <c r="K24" s="11" t="str">
        <f>"2123,4779"</f>
        <v>2123,4779</v>
      </c>
      <c r="L24" s="18" t="s">
        <v>26</v>
      </c>
    </row>
    <row r="25" spans="1:12" ht="12.75">
      <c r="A25" s="15" t="s">
        <v>27</v>
      </c>
      <c r="B25" s="14" t="s">
        <v>446</v>
      </c>
      <c r="C25" s="14" t="s">
        <v>447</v>
      </c>
      <c r="D25" s="14" t="s">
        <v>448</v>
      </c>
      <c r="E25" s="14" t="str">
        <f>"0,6396"</f>
        <v>0,6396</v>
      </c>
      <c r="F25" s="14" t="s">
        <v>10</v>
      </c>
      <c r="G25" s="14" t="s">
        <v>11</v>
      </c>
      <c r="H25" s="15" t="s">
        <v>28</v>
      </c>
      <c r="I25" s="27">
        <v>36</v>
      </c>
      <c r="J25" s="15" t="str">
        <f>"3060,0"</f>
        <v>3060,0</v>
      </c>
      <c r="K25" s="15" t="str">
        <f>"1957,3290"</f>
        <v>1957,3290</v>
      </c>
      <c r="L25" s="19" t="s">
        <v>26</v>
      </c>
    </row>
    <row r="26" spans="1:12" ht="12.75">
      <c r="A26" s="15" t="s">
        <v>48</v>
      </c>
      <c r="B26" s="14" t="s">
        <v>449</v>
      </c>
      <c r="C26" s="14" t="s">
        <v>450</v>
      </c>
      <c r="D26" s="14" t="s">
        <v>216</v>
      </c>
      <c r="E26" s="14" t="str">
        <f>"0,6230"</f>
        <v>0,6230</v>
      </c>
      <c r="F26" s="14" t="s">
        <v>10</v>
      </c>
      <c r="G26" s="14" t="s">
        <v>92</v>
      </c>
      <c r="H26" s="15" t="s">
        <v>12</v>
      </c>
      <c r="I26" s="27">
        <v>31</v>
      </c>
      <c r="J26" s="15" t="str">
        <f>"2712,5"</f>
        <v>2712,5</v>
      </c>
      <c r="K26" s="15" t="str">
        <f>"1689,8876"</f>
        <v>1689,8876</v>
      </c>
      <c r="L26" s="19" t="s">
        <v>26</v>
      </c>
    </row>
    <row r="27" spans="1:12" ht="12.75">
      <c r="A27" s="15" t="s">
        <v>50</v>
      </c>
      <c r="B27" s="14" t="s">
        <v>451</v>
      </c>
      <c r="C27" s="14" t="s">
        <v>452</v>
      </c>
      <c r="D27" s="14" t="s">
        <v>215</v>
      </c>
      <c r="E27" s="14" t="str">
        <f>"0,6259"</f>
        <v>0,6259</v>
      </c>
      <c r="F27" s="14" t="s">
        <v>10</v>
      </c>
      <c r="G27" s="14" t="s">
        <v>453</v>
      </c>
      <c r="H27" s="15" t="s">
        <v>12</v>
      </c>
      <c r="I27" s="27">
        <v>30</v>
      </c>
      <c r="J27" s="15" t="str">
        <f>"2625,0"</f>
        <v>2625,0</v>
      </c>
      <c r="K27" s="15" t="str">
        <f>"1643,1187"</f>
        <v>1643,1187</v>
      </c>
      <c r="L27" s="19" t="s">
        <v>26</v>
      </c>
    </row>
    <row r="28" spans="1:12" ht="12.75">
      <c r="A28" s="15" t="s">
        <v>56</v>
      </c>
      <c r="B28" s="14" t="s">
        <v>454</v>
      </c>
      <c r="C28" s="14" t="s">
        <v>261</v>
      </c>
      <c r="D28" s="14" t="s">
        <v>455</v>
      </c>
      <c r="E28" s="14" t="str">
        <f>"0,6406"</f>
        <v>0,6406</v>
      </c>
      <c r="F28" s="19" t="s">
        <v>103</v>
      </c>
      <c r="G28" s="14" t="s">
        <v>213</v>
      </c>
      <c r="H28" s="15" t="s">
        <v>28</v>
      </c>
      <c r="I28" s="27">
        <v>30</v>
      </c>
      <c r="J28" s="15" t="str">
        <f>"2550,0"</f>
        <v>2550,0</v>
      </c>
      <c r="K28" s="15" t="str">
        <f>"1633,6574"</f>
        <v>1633,6574</v>
      </c>
      <c r="L28" s="19" t="s">
        <v>456</v>
      </c>
    </row>
    <row r="29" spans="1:12" ht="12.75">
      <c r="A29" s="15" t="s">
        <v>71</v>
      </c>
      <c r="B29" s="14" t="s">
        <v>457</v>
      </c>
      <c r="C29" s="14" t="s">
        <v>458</v>
      </c>
      <c r="D29" s="14" t="s">
        <v>349</v>
      </c>
      <c r="E29" s="14" t="str">
        <f>"0,6373"</f>
        <v>0,6373</v>
      </c>
      <c r="F29" s="14" t="s">
        <v>10</v>
      </c>
      <c r="G29" s="14" t="s">
        <v>11</v>
      </c>
      <c r="H29" s="15" t="s">
        <v>28</v>
      </c>
      <c r="I29" s="27">
        <v>29</v>
      </c>
      <c r="J29" s="15" t="str">
        <f>"2465,0"</f>
        <v>2465,0</v>
      </c>
      <c r="K29" s="15" t="str">
        <f>"1570,8213"</f>
        <v>1570,8213</v>
      </c>
      <c r="L29" s="19" t="s">
        <v>26</v>
      </c>
    </row>
    <row r="30" spans="1:12" ht="12.75">
      <c r="A30" s="15" t="s">
        <v>72</v>
      </c>
      <c r="B30" s="14" t="s">
        <v>459</v>
      </c>
      <c r="C30" s="14" t="s">
        <v>460</v>
      </c>
      <c r="D30" s="14" t="s">
        <v>170</v>
      </c>
      <c r="E30" s="14" t="str">
        <f>"0,6363"</f>
        <v>0,6363</v>
      </c>
      <c r="F30" s="14" t="s">
        <v>10</v>
      </c>
      <c r="G30" s="14" t="s">
        <v>254</v>
      </c>
      <c r="H30" s="15" t="s">
        <v>28</v>
      </c>
      <c r="I30" s="27">
        <v>27</v>
      </c>
      <c r="J30" s="15" t="str">
        <f>"2295,0"</f>
        <v>2295,0</v>
      </c>
      <c r="K30" s="15" t="str">
        <f>"1460,3086"</f>
        <v>1460,3086</v>
      </c>
      <c r="L30" s="19" t="s">
        <v>461</v>
      </c>
    </row>
    <row r="31" spans="1:12" ht="12.75">
      <c r="A31" s="15" t="s">
        <v>74</v>
      </c>
      <c r="B31" s="14" t="s">
        <v>462</v>
      </c>
      <c r="C31" s="14" t="s">
        <v>463</v>
      </c>
      <c r="D31" s="14" t="s">
        <v>134</v>
      </c>
      <c r="E31" s="14" t="str">
        <f>"0,6286"</f>
        <v>0,6286</v>
      </c>
      <c r="F31" s="14" t="s">
        <v>10</v>
      </c>
      <c r="G31" s="14" t="s">
        <v>136</v>
      </c>
      <c r="H31" s="15" t="s">
        <v>12</v>
      </c>
      <c r="I31" s="27">
        <v>20</v>
      </c>
      <c r="J31" s="15" t="str">
        <f>"1750,0"</f>
        <v>1750,0</v>
      </c>
      <c r="K31" s="15" t="str">
        <f>"1100,0500"</f>
        <v>1100,0500</v>
      </c>
      <c r="L31" s="19" t="s">
        <v>26</v>
      </c>
    </row>
    <row r="32" spans="1:12" ht="12.75">
      <c r="A32" s="15" t="s">
        <v>9</v>
      </c>
      <c r="B32" s="14" t="s">
        <v>464</v>
      </c>
      <c r="C32" s="14" t="s">
        <v>351</v>
      </c>
      <c r="D32" s="14" t="s">
        <v>80</v>
      </c>
      <c r="E32" s="14" t="str">
        <f>"0,6137"</f>
        <v>0,6137</v>
      </c>
      <c r="F32" s="14" t="s">
        <v>10</v>
      </c>
      <c r="G32" s="19" t="s">
        <v>465</v>
      </c>
      <c r="H32" s="15" t="s">
        <v>13</v>
      </c>
      <c r="I32" s="28">
        <v>0</v>
      </c>
      <c r="J32" s="15" t="s">
        <v>16</v>
      </c>
      <c r="K32" s="15" t="str">
        <f>"0,0000"</f>
        <v>0,0000</v>
      </c>
      <c r="L32" s="19" t="s">
        <v>466</v>
      </c>
    </row>
    <row r="33" spans="1:12" ht="12.75">
      <c r="A33" s="13" t="s">
        <v>17</v>
      </c>
      <c r="B33" s="12" t="s">
        <v>467</v>
      </c>
      <c r="C33" s="12" t="s">
        <v>468</v>
      </c>
      <c r="D33" s="12" t="s">
        <v>469</v>
      </c>
      <c r="E33" s="12" t="str">
        <f>"0,6387"</f>
        <v>0,6387</v>
      </c>
      <c r="F33" s="12" t="s">
        <v>10</v>
      </c>
      <c r="G33" s="12" t="s">
        <v>116</v>
      </c>
      <c r="H33" s="13" t="s">
        <v>28</v>
      </c>
      <c r="I33" s="24">
        <v>40</v>
      </c>
      <c r="J33" s="13" t="str">
        <f>"3400,0"</f>
        <v>3400,0</v>
      </c>
      <c r="K33" s="13" t="str">
        <f>"2238,8990"</f>
        <v>2238,8990</v>
      </c>
      <c r="L33" s="20" t="s">
        <v>26</v>
      </c>
    </row>
    <row r="34" ht="12.75">
      <c r="B34" s="6" t="s">
        <v>23</v>
      </c>
    </row>
    <row r="35" spans="1:11" ht="15">
      <c r="A35" s="31" t="s">
        <v>81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2" ht="12.75">
      <c r="A36" s="11" t="s">
        <v>17</v>
      </c>
      <c r="B36" s="10" t="s">
        <v>263</v>
      </c>
      <c r="C36" s="10" t="s">
        <v>470</v>
      </c>
      <c r="D36" s="10" t="s">
        <v>112</v>
      </c>
      <c r="E36" s="10" t="str">
        <f>"0,5870"</f>
        <v>0,5870</v>
      </c>
      <c r="F36" s="18" t="s">
        <v>125</v>
      </c>
      <c r="G36" s="10" t="s">
        <v>126</v>
      </c>
      <c r="H36" s="11" t="s">
        <v>41</v>
      </c>
      <c r="I36" s="26">
        <v>16</v>
      </c>
      <c r="J36" s="11" t="str">
        <f>"1600,0"</f>
        <v>1600,0</v>
      </c>
      <c r="K36" s="11" t="str">
        <f>"939,1200"</f>
        <v>939,1200</v>
      </c>
      <c r="L36" s="18" t="s">
        <v>127</v>
      </c>
    </row>
    <row r="37" spans="1:12" ht="12.75">
      <c r="A37" s="15" t="s">
        <v>17</v>
      </c>
      <c r="B37" s="14" t="s">
        <v>471</v>
      </c>
      <c r="C37" s="14" t="s">
        <v>472</v>
      </c>
      <c r="D37" s="14" t="s">
        <v>226</v>
      </c>
      <c r="E37" s="14" t="str">
        <f>"0,5891"</f>
        <v>0,5891</v>
      </c>
      <c r="F37" s="19" t="s">
        <v>103</v>
      </c>
      <c r="G37" s="14" t="s">
        <v>213</v>
      </c>
      <c r="H37" s="15" t="s">
        <v>62</v>
      </c>
      <c r="I37" s="27">
        <v>33</v>
      </c>
      <c r="J37" s="15" t="str">
        <f>"3217,5"</f>
        <v>3217,5</v>
      </c>
      <c r="K37" s="15" t="str">
        <f>"1895,4293"</f>
        <v>1895,4293</v>
      </c>
      <c r="L37" s="19" t="s">
        <v>26</v>
      </c>
    </row>
    <row r="38" spans="1:12" ht="12.75">
      <c r="A38" s="15" t="s">
        <v>27</v>
      </c>
      <c r="B38" s="14" t="s">
        <v>264</v>
      </c>
      <c r="C38" s="14" t="s">
        <v>265</v>
      </c>
      <c r="D38" s="14" t="s">
        <v>84</v>
      </c>
      <c r="E38" s="14" t="str">
        <f>"0,5878"</f>
        <v>0,5878</v>
      </c>
      <c r="F38" s="14" t="s">
        <v>10</v>
      </c>
      <c r="G38" s="14" t="s">
        <v>11</v>
      </c>
      <c r="H38" s="15" t="s">
        <v>62</v>
      </c>
      <c r="I38" s="27">
        <v>30</v>
      </c>
      <c r="J38" s="15" t="str">
        <f>"2925,0"</f>
        <v>2925,0</v>
      </c>
      <c r="K38" s="15" t="str">
        <f>"1719,1688"</f>
        <v>1719,1688</v>
      </c>
      <c r="L38" s="19" t="s">
        <v>26</v>
      </c>
    </row>
    <row r="39" spans="1:12" ht="12.75">
      <c r="A39" s="15" t="s">
        <v>48</v>
      </c>
      <c r="B39" s="14" t="s">
        <v>266</v>
      </c>
      <c r="C39" s="14" t="s">
        <v>267</v>
      </c>
      <c r="D39" s="14" t="s">
        <v>268</v>
      </c>
      <c r="E39" s="14" t="str">
        <f>"0,5993"</f>
        <v>0,5993</v>
      </c>
      <c r="F39" s="14" t="s">
        <v>10</v>
      </c>
      <c r="G39" s="14" t="s">
        <v>269</v>
      </c>
      <c r="H39" s="15" t="s">
        <v>14</v>
      </c>
      <c r="I39" s="27">
        <v>22</v>
      </c>
      <c r="J39" s="15" t="str">
        <f>"2090,0"</f>
        <v>2090,0</v>
      </c>
      <c r="K39" s="15" t="str">
        <f>"1252,5371"</f>
        <v>1252,5371</v>
      </c>
      <c r="L39" s="19" t="s">
        <v>26</v>
      </c>
    </row>
    <row r="40" spans="1:12" ht="12.75">
      <c r="A40" s="15" t="s">
        <v>50</v>
      </c>
      <c r="B40" s="14" t="s">
        <v>473</v>
      </c>
      <c r="C40" s="14" t="s">
        <v>474</v>
      </c>
      <c r="D40" s="14" t="s">
        <v>262</v>
      </c>
      <c r="E40" s="14" t="str">
        <f>"0,6007"</f>
        <v>0,6007</v>
      </c>
      <c r="F40" s="14" t="s">
        <v>69</v>
      </c>
      <c r="G40" s="14" t="s">
        <v>162</v>
      </c>
      <c r="H40" s="15" t="s">
        <v>14</v>
      </c>
      <c r="I40" s="27">
        <v>21</v>
      </c>
      <c r="J40" s="15" t="str">
        <f>"1995,0"</f>
        <v>1995,0</v>
      </c>
      <c r="K40" s="15" t="str">
        <f>"1198,2968"</f>
        <v>1198,2968</v>
      </c>
      <c r="L40" s="19" t="s">
        <v>26</v>
      </c>
    </row>
    <row r="41" spans="1:12" ht="12.75">
      <c r="A41" s="15" t="s">
        <v>17</v>
      </c>
      <c r="B41" s="14" t="s">
        <v>475</v>
      </c>
      <c r="C41" s="14" t="s">
        <v>476</v>
      </c>
      <c r="D41" s="14" t="s">
        <v>152</v>
      </c>
      <c r="E41" s="14" t="str">
        <f>"0,6019"</f>
        <v>0,6019</v>
      </c>
      <c r="F41" s="14" t="s">
        <v>10</v>
      </c>
      <c r="G41" s="14" t="s">
        <v>477</v>
      </c>
      <c r="H41" s="15" t="s">
        <v>14</v>
      </c>
      <c r="I41" s="27">
        <v>31</v>
      </c>
      <c r="J41" s="15" t="str">
        <f>"2945,0"</f>
        <v>2945,0</v>
      </c>
      <c r="K41" s="15" t="str">
        <f>"1808,1976"</f>
        <v>1808,1976</v>
      </c>
      <c r="L41" s="19" t="s">
        <v>478</v>
      </c>
    </row>
    <row r="42" spans="1:12" ht="12.75">
      <c r="A42" s="13" t="s">
        <v>27</v>
      </c>
      <c r="B42" s="12" t="s">
        <v>110</v>
      </c>
      <c r="C42" s="12" t="s">
        <v>479</v>
      </c>
      <c r="D42" s="12" t="s">
        <v>111</v>
      </c>
      <c r="E42" s="12" t="str">
        <f>"0,5840"</f>
        <v>0,5840</v>
      </c>
      <c r="F42" s="12" t="s">
        <v>10</v>
      </c>
      <c r="G42" s="12" t="s">
        <v>67</v>
      </c>
      <c r="H42" s="13" t="s">
        <v>41</v>
      </c>
      <c r="I42" s="24">
        <v>20</v>
      </c>
      <c r="J42" s="13" t="str">
        <f>"2000,0"</f>
        <v>2000,0</v>
      </c>
      <c r="K42" s="13" t="str">
        <f>"1218,3283"</f>
        <v>1218,3283</v>
      </c>
      <c r="L42" s="20" t="s">
        <v>26</v>
      </c>
    </row>
    <row r="43" ht="12.75">
      <c r="B43" s="6" t="s">
        <v>23</v>
      </c>
    </row>
    <row r="44" spans="1:11" ht="15">
      <c r="A44" s="31" t="s">
        <v>85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12.75">
      <c r="A45" s="11" t="s">
        <v>17</v>
      </c>
      <c r="B45" s="10" t="s">
        <v>271</v>
      </c>
      <c r="C45" s="10" t="s">
        <v>207</v>
      </c>
      <c r="D45" s="10" t="s">
        <v>272</v>
      </c>
      <c r="E45" s="10" t="str">
        <f>"0,5664"</f>
        <v>0,5664</v>
      </c>
      <c r="F45" s="10" t="s">
        <v>10</v>
      </c>
      <c r="G45" s="10" t="s">
        <v>92</v>
      </c>
      <c r="H45" s="11" t="s">
        <v>43</v>
      </c>
      <c r="I45" s="26">
        <v>43</v>
      </c>
      <c r="J45" s="11" t="str">
        <f>"4622,5"</f>
        <v>4622,5</v>
      </c>
      <c r="K45" s="11" t="str">
        <f>"2618,4151"</f>
        <v>2618,4151</v>
      </c>
      <c r="L45" s="18" t="s">
        <v>26</v>
      </c>
    </row>
    <row r="46" spans="1:12" ht="12.75">
      <c r="A46" s="15" t="s">
        <v>27</v>
      </c>
      <c r="B46" s="14" t="s">
        <v>480</v>
      </c>
      <c r="C46" s="14" t="s">
        <v>481</v>
      </c>
      <c r="D46" s="14" t="s">
        <v>138</v>
      </c>
      <c r="E46" s="14" t="str">
        <f>"0,5748"</f>
        <v>0,5748</v>
      </c>
      <c r="F46" s="19" t="s">
        <v>113</v>
      </c>
      <c r="G46" s="14" t="s">
        <v>289</v>
      </c>
      <c r="H46" s="15" t="s">
        <v>15</v>
      </c>
      <c r="I46" s="27">
        <v>43</v>
      </c>
      <c r="J46" s="15" t="str">
        <f>"4515,0"</f>
        <v>4515,0</v>
      </c>
      <c r="K46" s="15" t="str">
        <f>"2595,2221"</f>
        <v>2595,2221</v>
      </c>
      <c r="L46" s="19" t="s">
        <v>26</v>
      </c>
    </row>
    <row r="47" spans="1:12" ht="12.75">
      <c r="A47" s="15" t="s">
        <v>48</v>
      </c>
      <c r="B47" s="14" t="s">
        <v>482</v>
      </c>
      <c r="C47" s="14" t="s">
        <v>483</v>
      </c>
      <c r="D47" s="14" t="s">
        <v>484</v>
      </c>
      <c r="E47" s="14" t="str">
        <f>"0,5722"</f>
        <v>0,5722</v>
      </c>
      <c r="F47" s="14" t="s">
        <v>10</v>
      </c>
      <c r="G47" s="14" t="s">
        <v>485</v>
      </c>
      <c r="H47" s="15" t="s">
        <v>15</v>
      </c>
      <c r="I47" s="27">
        <v>40</v>
      </c>
      <c r="J47" s="15" t="str">
        <f>"4200,0"</f>
        <v>4200,0</v>
      </c>
      <c r="K47" s="15" t="str">
        <f>"2403,2400"</f>
        <v>2403,2400</v>
      </c>
      <c r="L47" s="19" t="s">
        <v>486</v>
      </c>
    </row>
    <row r="48" spans="1:12" ht="12.75">
      <c r="A48" s="15" t="s">
        <v>50</v>
      </c>
      <c r="B48" s="14" t="s">
        <v>273</v>
      </c>
      <c r="C48" s="14" t="s">
        <v>274</v>
      </c>
      <c r="D48" s="14" t="s">
        <v>118</v>
      </c>
      <c r="E48" s="14" t="str">
        <f>"0,5625"</f>
        <v>0,5625</v>
      </c>
      <c r="F48" s="14" t="s">
        <v>10</v>
      </c>
      <c r="G48" s="14" t="s">
        <v>117</v>
      </c>
      <c r="H48" s="15" t="s">
        <v>24</v>
      </c>
      <c r="I48" s="27">
        <v>37</v>
      </c>
      <c r="J48" s="15" t="str">
        <f>"4070,0"</f>
        <v>4070,0</v>
      </c>
      <c r="K48" s="15" t="str">
        <f>"2289,3750"</f>
        <v>2289,3750</v>
      </c>
      <c r="L48" s="19" t="s">
        <v>26</v>
      </c>
    </row>
    <row r="49" spans="1:12" ht="12.75">
      <c r="A49" s="15" t="s">
        <v>56</v>
      </c>
      <c r="B49" s="14" t="s">
        <v>487</v>
      </c>
      <c r="C49" s="14" t="s">
        <v>488</v>
      </c>
      <c r="D49" s="14" t="s">
        <v>489</v>
      </c>
      <c r="E49" s="14" t="str">
        <f>"0,5681"</f>
        <v>0,5681</v>
      </c>
      <c r="F49" s="14" t="s">
        <v>10</v>
      </c>
      <c r="G49" s="14" t="s">
        <v>214</v>
      </c>
      <c r="H49" s="15" t="s">
        <v>43</v>
      </c>
      <c r="I49" s="27">
        <v>37</v>
      </c>
      <c r="J49" s="15" t="str">
        <f>"3977,5"</f>
        <v>3977,5</v>
      </c>
      <c r="K49" s="15" t="str">
        <f>"2259,6177"</f>
        <v>2259,6177</v>
      </c>
      <c r="L49" s="19" t="s">
        <v>490</v>
      </c>
    </row>
    <row r="50" spans="1:12" ht="12.75">
      <c r="A50" s="15" t="s">
        <v>71</v>
      </c>
      <c r="B50" s="14" t="s">
        <v>491</v>
      </c>
      <c r="C50" s="14" t="s">
        <v>157</v>
      </c>
      <c r="D50" s="14" t="s">
        <v>230</v>
      </c>
      <c r="E50" s="14" t="str">
        <f>"0,5738"</f>
        <v>0,5738</v>
      </c>
      <c r="F50" s="14" t="s">
        <v>69</v>
      </c>
      <c r="G50" s="14" t="s">
        <v>150</v>
      </c>
      <c r="H50" s="15" t="s">
        <v>15</v>
      </c>
      <c r="I50" s="27">
        <v>34</v>
      </c>
      <c r="J50" s="15" t="str">
        <f>"3570,0"</f>
        <v>3570,0</v>
      </c>
      <c r="K50" s="15" t="str">
        <f>"2048,4661"</f>
        <v>2048,4661</v>
      </c>
      <c r="L50" s="19" t="s">
        <v>26</v>
      </c>
    </row>
    <row r="51" spans="1:12" ht="12.75">
      <c r="A51" s="15" t="s">
        <v>72</v>
      </c>
      <c r="B51" s="14" t="s">
        <v>492</v>
      </c>
      <c r="C51" s="14" t="s">
        <v>493</v>
      </c>
      <c r="D51" s="14" t="s">
        <v>291</v>
      </c>
      <c r="E51" s="14" t="str">
        <f>"0,5629"</f>
        <v>0,5629</v>
      </c>
      <c r="F51" s="14" t="s">
        <v>10</v>
      </c>
      <c r="G51" s="14" t="s">
        <v>11</v>
      </c>
      <c r="H51" s="15" t="s">
        <v>24</v>
      </c>
      <c r="I51" s="27">
        <v>27</v>
      </c>
      <c r="J51" s="15" t="str">
        <f>"2970,0"</f>
        <v>2970,0</v>
      </c>
      <c r="K51" s="15" t="str">
        <f>"1671,8130"</f>
        <v>1671,8130</v>
      </c>
      <c r="L51" s="19" t="s">
        <v>26</v>
      </c>
    </row>
    <row r="52" spans="1:12" ht="12.75">
      <c r="A52" s="15" t="s">
        <v>74</v>
      </c>
      <c r="B52" s="14" t="s">
        <v>494</v>
      </c>
      <c r="C52" s="14" t="s">
        <v>114</v>
      </c>
      <c r="D52" s="14" t="s">
        <v>495</v>
      </c>
      <c r="E52" s="14" t="str">
        <f>"0,5789"</f>
        <v>0,5789</v>
      </c>
      <c r="F52" s="14" t="s">
        <v>10</v>
      </c>
      <c r="G52" s="19" t="s">
        <v>496</v>
      </c>
      <c r="H52" s="15" t="s">
        <v>42</v>
      </c>
      <c r="I52" s="27">
        <v>22</v>
      </c>
      <c r="J52" s="15" t="str">
        <f>"2255,0"</f>
        <v>2255,0</v>
      </c>
      <c r="K52" s="15" t="str">
        <f>"1305,5322"</f>
        <v>1305,5322</v>
      </c>
      <c r="L52" s="19" t="s">
        <v>26</v>
      </c>
    </row>
    <row r="53" spans="1:12" ht="12.75">
      <c r="A53" s="15" t="s">
        <v>154</v>
      </c>
      <c r="B53" s="14" t="s">
        <v>275</v>
      </c>
      <c r="C53" s="14" t="s">
        <v>276</v>
      </c>
      <c r="D53" s="14" t="s">
        <v>119</v>
      </c>
      <c r="E53" s="14" t="str">
        <f>"0,5661"</f>
        <v>0,5661</v>
      </c>
      <c r="F53" s="14" t="s">
        <v>10</v>
      </c>
      <c r="G53" s="14" t="s">
        <v>149</v>
      </c>
      <c r="H53" s="15" t="s">
        <v>24</v>
      </c>
      <c r="I53" s="27">
        <v>21</v>
      </c>
      <c r="J53" s="15" t="str">
        <f>"2310,0"</f>
        <v>2310,0</v>
      </c>
      <c r="K53" s="15" t="str">
        <f>"1307,6910"</f>
        <v>1307,6910</v>
      </c>
      <c r="L53" s="19" t="s">
        <v>277</v>
      </c>
    </row>
    <row r="54" spans="1:12" ht="12.75">
      <c r="A54" s="15" t="s">
        <v>200</v>
      </c>
      <c r="B54" s="14" t="s">
        <v>243</v>
      </c>
      <c r="C54" s="14" t="s">
        <v>183</v>
      </c>
      <c r="D54" s="14" t="s">
        <v>120</v>
      </c>
      <c r="E54" s="14" t="str">
        <f>"0,5788"</f>
        <v>0,5788</v>
      </c>
      <c r="F54" s="19" t="s">
        <v>108</v>
      </c>
      <c r="G54" s="14" t="s">
        <v>109</v>
      </c>
      <c r="H54" s="15" t="s">
        <v>42</v>
      </c>
      <c r="I54" s="27">
        <v>16</v>
      </c>
      <c r="J54" s="15" t="str">
        <f>"1640,0"</f>
        <v>1640,0</v>
      </c>
      <c r="K54" s="15" t="str">
        <f>"949,1500"</f>
        <v>949,1500</v>
      </c>
      <c r="L54" s="19" t="s">
        <v>26</v>
      </c>
    </row>
    <row r="55" spans="1:12" ht="12.75">
      <c r="A55" s="15" t="s">
        <v>201</v>
      </c>
      <c r="B55" s="14" t="s">
        <v>278</v>
      </c>
      <c r="C55" s="14" t="s">
        <v>279</v>
      </c>
      <c r="D55" s="14" t="s">
        <v>280</v>
      </c>
      <c r="E55" s="14" t="str">
        <f>"0,5760"</f>
        <v>0,5760</v>
      </c>
      <c r="F55" s="19" t="s">
        <v>125</v>
      </c>
      <c r="G55" s="14" t="s">
        <v>126</v>
      </c>
      <c r="H55" s="15" t="s">
        <v>42</v>
      </c>
      <c r="I55" s="27">
        <v>15</v>
      </c>
      <c r="J55" s="15" t="str">
        <f>"1537,5"</f>
        <v>1537,5</v>
      </c>
      <c r="K55" s="15" t="str">
        <f>"885,6768"</f>
        <v>885,6768</v>
      </c>
      <c r="L55" s="19" t="s">
        <v>127</v>
      </c>
    </row>
    <row r="56" spans="1:12" ht="12.75">
      <c r="A56" s="15" t="s">
        <v>17</v>
      </c>
      <c r="B56" s="14" t="s">
        <v>110</v>
      </c>
      <c r="C56" s="14" t="s">
        <v>479</v>
      </c>
      <c r="D56" s="14" t="s">
        <v>244</v>
      </c>
      <c r="E56" s="14" t="str">
        <f>"0,5740"</f>
        <v>0,5740</v>
      </c>
      <c r="F56" s="14" t="s">
        <v>10</v>
      </c>
      <c r="G56" s="14" t="s">
        <v>67</v>
      </c>
      <c r="H56" s="15" t="s">
        <v>15</v>
      </c>
      <c r="I56" s="27">
        <v>29</v>
      </c>
      <c r="J56" s="15" t="str">
        <f>"3045,0"</f>
        <v>3045,0</v>
      </c>
      <c r="K56" s="15" t="str">
        <f>"1822,9867"</f>
        <v>1822,9867</v>
      </c>
      <c r="L56" s="19" t="s">
        <v>26</v>
      </c>
    </row>
    <row r="57" spans="1:12" ht="12.75">
      <c r="A57" s="15" t="s">
        <v>27</v>
      </c>
      <c r="B57" s="14" t="s">
        <v>281</v>
      </c>
      <c r="C57" s="14" t="s">
        <v>497</v>
      </c>
      <c r="D57" s="14" t="s">
        <v>270</v>
      </c>
      <c r="E57" s="14" t="str">
        <f>"0,5650"</f>
        <v>0,5650</v>
      </c>
      <c r="F57" s="14" t="s">
        <v>10</v>
      </c>
      <c r="G57" s="14" t="s">
        <v>153</v>
      </c>
      <c r="H57" s="15" t="s">
        <v>24</v>
      </c>
      <c r="I57" s="27">
        <v>26</v>
      </c>
      <c r="J57" s="15" t="str">
        <f>"2860,0"</f>
        <v>2860,0</v>
      </c>
      <c r="K57" s="15" t="str">
        <f>"1648,2180"</f>
        <v>1648,2180</v>
      </c>
      <c r="L57" s="19" t="s">
        <v>282</v>
      </c>
    </row>
    <row r="58" spans="1:12" ht="12.75">
      <c r="A58" s="15" t="s">
        <v>48</v>
      </c>
      <c r="B58" s="14" t="s">
        <v>498</v>
      </c>
      <c r="C58" s="14" t="s">
        <v>499</v>
      </c>
      <c r="D58" s="14" t="s">
        <v>231</v>
      </c>
      <c r="E58" s="14" t="str">
        <f>"0,5756"</f>
        <v>0,5756</v>
      </c>
      <c r="F58" s="14" t="s">
        <v>10</v>
      </c>
      <c r="G58" s="14" t="s">
        <v>164</v>
      </c>
      <c r="H58" s="15" t="s">
        <v>42</v>
      </c>
      <c r="I58" s="27">
        <v>25</v>
      </c>
      <c r="J58" s="15" t="str">
        <f>"2562,5"</f>
        <v>2562,5</v>
      </c>
      <c r="K58" s="15" t="str">
        <f>"1618,1881"</f>
        <v>1618,1881</v>
      </c>
      <c r="L58" s="19" t="s">
        <v>26</v>
      </c>
    </row>
    <row r="59" spans="1:12" ht="12.75">
      <c r="A59" s="15" t="s">
        <v>50</v>
      </c>
      <c r="B59" s="14" t="s">
        <v>245</v>
      </c>
      <c r="C59" s="14" t="s">
        <v>500</v>
      </c>
      <c r="D59" s="14" t="s">
        <v>484</v>
      </c>
      <c r="E59" s="14" t="str">
        <f>"0,5722"</f>
        <v>0,5722</v>
      </c>
      <c r="F59" s="19" t="s">
        <v>108</v>
      </c>
      <c r="G59" s="14" t="s">
        <v>109</v>
      </c>
      <c r="H59" s="15" t="s">
        <v>15</v>
      </c>
      <c r="I59" s="27">
        <v>19</v>
      </c>
      <c r="J59" s="15" t="str">
        <f>"1995,0"</f>
        <v>1995,0</v>
      </c>
      <c r="K59" s="15" t="str">
        <f>"1141,5390"</f>
        <v>1141,5390</v>
      </c>
      <c r="L59" s="19" t="s">
        <v>26</v>
      </c>
    </row>
    <row r="60" spans="1:12" ht="12.75">
      <c r="A60" s="13" t="s">
        <v>17</v>
      </c>
      <c r="B60" s="12" t="s">
        <v>501</v>
      </c>
      <c r="C60" s="12" t="s">
        <v>502</v>
      </c>
      <c r="D60" s="12" t="s">
        <v>503</v>
      </c>
      <c r="E60" s="12" t="str">
        <f>"0,5706"</f>
        <v>0,5706</v>
      </c>
      <c r="F60" s="12" t="s">
        <v>10</v>
      </c>
      <c r="G60" s="12" t="s">
        <v>169</v>
      </c>
      <c r="H60" s="13" t="s">
        <v>15</v>
      </c>
      <c r="I60" s="24">
        <v>24</v>
      </c>
      <c r="J60" s="13" t="str">
        <f>"2520,0"</f>
        <v>2520,0</v>
      </c>
      <c r="K60" s="13" t="str">
        <f>"1624,9829"</f>
        <v>1624,9829</v>
      </c>
      <c r="L60" s="20" t="s">
        <v>26</v>
      </c>
    </row>
    <row r="61" ht="12.75">
      <c r="B61" s="6" t="s">
        <v>23</v>
      </c>
    </row>
    <row r="62" spans="1:11" ht="15">
      <c r="A62" s="31" t="s">
        <v>91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2" ht="12.75">
      <c r="A63" s="11" t="s">
        <v>17</v>
      </c>
      <c r="B63" s="10" t="s">
        <v>283</v>
      </c>
      <c r="C63" s="10" t="s">
        <v>284</v>
      </c>
      <c r="D63" s="10" t="s">
        <v>285</v>
      </c>
      <c r="E63" s="10" t="str">
        <f>"0,5501"</f>
        <v>0,5501</v>
      </c>
      <c r="F63" s="10" t="s">
        <v>10</v>
      </c>
      <c r="G63" s="10" t="s">
        <v>11</v>
      </c>
      <c r="H63" s="11" t="s">
        <v>70</v>
      </c>
      <c r="I63" s="26">
        <v>26</v>
      </c>
      <c r="J63" s="11" t="str">
        <f>"3185,0"</f>
        <v>3185,0</v>
      </c>
      <c r="K63" s="11" t="str">
        <f>"1752,0686"</f>
        <v>1752,0686</v>
      </c>
      <c r="L63" s="18" t="s">
        <v>26</v>
      </c>
    </row>
    <row r="64" spans="1:12" ht="12.75">
      <c r="A64" s="15" t="s">
        <v>27</v>
      </c>
      <c r="B64" s="14" t="s">
        <v>504</v>
      </c>
      <c r="C64" s="14" t="s">
        <v>505</v>
      </c>
      <c r="D64" s="14" t="s">
        <v>506</v>
      </c>
      <c r="E64" s="14" t="str">
        <f>"0,5616"</f>
        <v>0,5616</v>
      </c>
      <c r="F64" s="14" t="s">
        <v>10</v>
      </c>
      <c r="G64" s="14" t="s">
        <v>286</v>
      </c>
      <c r="H64" s="15" t="s">
        <v>55</v>
      </c>
      <c r="I64" s="27">
        <v>20</v>
      </c>
      <c r="J64" s="15" t="str">
        <f>"2250,0"</f>
        <v>2250,0</v>
      </c>
      <c r="K64" s="15" t="str">
        <f>"1263,4875"</f>
        <v>1263,4875</v>
      </c>
      <c r="L64" s="19" t="s">
        <v>26</v>
      </c>
    </row>
    <row r="65" spans="1:12" ht="12.75">
      <c r="A65" s="15" t="s">
        <v>17</v>
      </c>
      <c r="B65" s="14" t="s">
        <v>283</v>
      </c>
      <c r="C65" s="14" t="s">
        <v>507</v>
      </c>
      <c r="D65" s="14" t="s">
        <v>285</v>
      </c>
      <c r="E65" s="14" t="str">
        <f>"0,5501"</f>
        <v>0,5501</v>
      </c>
      <c r="F65" s="14" t="s">
        <v>10</v>
      </c>
      <c r="G65" s="14" t="s">
        <v>11</v>
      </c>
      <c r="H65" s="15" t="s">
        <v>70</v>
      </c>
      <c r="I65" s="27">
        <v>26</v>
      </c>
      <c r="J65" s="15" t="str">
        <f>"3185,0"</f>
        <v>3185,0</v>
      </c>
      <c r="K65" s="15" t="str">
        <f>"1827,4075"</f>
        <v>1827,4075</v>
      </c>
      <c r="L65" s="19" t="s">
        <v>26</v>
      </c>
    </row>
    <row r="66" spans="1:12" ht="12.75">
      <c r="A66" s="13" t="s">
        <v>27</v>
      </c>
      <c r="B66" s="12" t="s">
        <v>508</v>
      </c>
      <c r="C66" s="12" t="s">
        <v>509</v>
      </c>
      <c r="D66" s="12" t="s">
        <v>510</v>
      </c>
      <c r="E66" s="12" t="str">
        <f>"0,5599"</f>
        <v>0,5599</v>
      </c>
      <c r="F66" s="20" t="s">
        <v>103</v>
      </c>
      <c r="G66" s="12" t="s">
        <v>511</v>
      </c>
      <c r="H66" s="13" t="s">
        <v>55</v>
      </c>
      <c r="I66" s="24">
        <v>26</v>
      </c>
      <c r="J66" s="13" t="str">
        <f>"2925,0"</f>
        <v>2925,0</v>
      </c>
      <c r="K66" s="13" t="str">
        <f>"1654,0845"</f>
        <v>1654,0845</v>
      </c>
      <c r="L66" s="20" t="s">
        <v>73</v>
      </c>
    </row>
    <row r="67" ht="12.75">
      <c r="B67" s="6" t="s">
        <v>23</v>
      </c>
    </row>
    <row r="68" spans="1:11" ht="15">
      <c r="A68" s="31" t="s">
        <v>93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2" ht="12.75">
      <c r="A69" s="9" t="s">
        <v>17</v>
      </c>
      <c r="B69" s="8" t="s">
        <v>512</v>
      </c>
      <c r="C69" s="8" t="s">
        <v>513</v>
      </c>
      <c r="D69" s="8" t="s">
        <v>514</v>
      </c>
      <c r="E69" s="8" t="str">
        <f>"0,5312"</f>
        <v>0,5312</v>
      </c>
      <c r="F69" s="8" t="s">
        <v>10</v>
      </c>
      <c r="G69" s="21" t="s">
        <v>465</v>
      </c>
      <c r="H69" s="9" t="s">
        <v>40</v>
      </c>
      <c r="I69" s="23">
        <v>12</v>
      </c>
      <c r="J69" s="9" t="str">
        <f>"1680,0"</f>
        <v>1680,0</v>
      </c>
      <c r="K69" s="9" t="str">
        <f>"930,7373"</f>
        <v>930,7373</v>
      </c>
      <c r="L69" s="21" t="s">
        <v>26</v>
      </c>
    </row>
    <row r="70" ht="12.75">
      <c r="B70" s="6" t="s">
        <v>23</v>
      </c>
    </row>
    <row r="71" spans="1:11" ht="15">
      <c r="A71" s="31" t="s">
        <v>94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2" ht="12.75">
      <c r="A72" s="11" t="s">
        <v>17</v>
      </c>
      <c r="B72" s="10" t="s">
        <v>515</v>
      </c>
      <c r="C72" s="10" t="s">
        <v>516</v>
      </c>
      <c r="D72" s="10" t="s">
        <v>517</v>
      </c>
      <c r="E72" s="10" t="str">
        <f>"0,5303"</f>
        <v>0,5303</v>
      </c>
      <c r="F72" s="10" t="s">
        <v>10</v>
      </c>
      <c r="G72" s="10" t="s">
        <v>11</v>
      </c>
      <c r="H72" s="11" t="s">
        <v>47</v>
      </c>
      <c r="I72" s="26">
        <v>9</v>
      </c>
      <c r="J72" s="11" t="str">
        <f>"1282,5"</f>
        <v>1282,5</v>
      </c>
      <c r="K72" s="11" t="str">
        <f>"680,1354"</f>
        <v>680,1354</v>
      </c>
      <c r="L72" s="18" t="s">
        <v>26</v>
      </c>
    </row>
    <row r="73" spans="1:12" ht="12.75">
      <c r="A73" s="13" t="s">
        <v>17</v>
      </c>
      <c r="B73" s="12" t="s">
        <v>515</v>
      </c>
      <c r="C73" s="12" t="s">
        <v>518</v>
      </c>
      <c r="D73" s="12" t="s">
        <v>517</v>
      </c>
      <c r="E73" s="12" t="str">
        <f>"0,5303"</f>
        <v>0,5303</v>
      </c>
      <c r="F73" s="12" t="s">
        <v>10</v>
      </c>
      <c r="G73" s="12" t="s">
        <v>11</v>
      </c>
      <c r="H73" s="13" t="s">
        <v>47</v>
      </c>
      <c r="I73" s="24">
        <v>9</v>
      </c>
      <c r="J73" s="13" t="str">
        <f>"1282,5"</f>
        <v>1282,5</v>
      </c>
      <c r="K73" s="13" t="str">
        <f>"847,4487"</f>
        <v>847,4487</v>
      </c>
      <c r="L73" s="20" t="s">
        <v>26</v>
      </c>
    </row>
    <row r="74" ht="12.75">
      <c r="B74" s="6" t="s">
        <v>23</v>
      </c>
    </row>
    <row r="75" ht="12.75">
      <c r="B75" s="6" t="s">
        <v>23</v>
      </c>
    </row>
    <row r="76" spans="2:4" ht="18">
      <c r="B76" s="6" t="s">
        <v>23</v>
      </c>
      <c r="C76" s="16" t="s">
        <v>98</v>
      </c>
      <c r="D76" s="16"/>
    </row>
    <row r="77" spans="2:4" ht="15">
      <c r="B77" s="6" t="s">
        <v>23</v>
      </c>
      <c r="C77" s="29" t="s">
        <v>102</v>
      </c>
      <c r="D77" s="29"/>
    </row>
    <row r="78" spans="2:4" ht="14.25">
      <c r="B78" s="6" t="s">
        <v>23</v>
      </c>
      <c r="C78" s="17"/>
      <c r="D78" s="17" t="s">
        <v>99</v>
      </c>
    </row>
    <row r="79" spans="2:7" ht="15">
      <c r="B79" s="6" t="s">
        <v>23</v>
      </c>
      <c r="C79" s="5" t="s">
        <v>1</v>
      </c>
      <c r="D79" s="5" t="s">
        <v>100</v>
      </c>
      <c r="E79" s="5" t="s">
        <v>101</v>
      </c>
      <c r="F79" s="5" t="s">
        <v>6</v>
      </c>
      <c r="G79" s="5" t="s">
        <v>287</v>
      </c>
    </row>
    <row r="80" spans="2:7" ht="12.75">
      <c r="B80" s="6" t="s">
        <v>23</v>
      </c>
      <c r="C80" s="6" t="s">
        <v>424</v>
      </c>
      <c r="D80" s="6" t="s">
        <v>99</v>
      </c>
      <c r="E80" s="7" t="s">
        <v>49</v>
      </c>
      <c r="F80" s="7" t="s">
        <v>519</v>
      </c>
      <c r="G80" s="7" t="s">
        <v>520</v>
      </c>
    </row>
    <row r="81" spans="2:7" ht="12.75">
      <c r="B81" s="6" t="s">
        <v>23</v>
      </c>
      <c r="C81" s="6" t="s">
        <v>429</v>
      </c>
      <c r="D81" s="6" t="s">
        <v>99</v>
      </c>
      <c r="E81" s="7" t="s">
        <v>31</v>
      </c>
      <c r="F81" s="7" t="s">
        <v>521</v>
      </c>
      <c r="G81" s="7" t="s">
        <v>522</v>
      </c>
    </row>
    <row r="82" spans="2:7" ht="12.75">
      <c r="B82" s="6" t="s">
        <v>23</v>
      </c>
      <c r="C82" s="6" t="s">
        <v>432</v>
      </c>
      <c r="D82" s="6" t="s">
        <v>99</v>
      </c>
      <c r="E82" s="7" t="s">
        <v>31</v>
      </c>
      <c r="F82" s="7" t="s">
        <v>523</v>
      </c>
      <c r="G82" s="7" t="s">
        <v>524</v>
      </c>
    </row>
    <row r="83" ht="12.75">
      <c r="B83" s="6" t="s">
        <v>23</v>
      </c>
    </row>
    <row r="84" spans="2:4" ht="14.25">
      <c r="B84" s="6" t="s">
        <v>23</v>
      </c>
      <c r="C84" s="17"/>
      <c r="D84" s="17" t="s">
        <v>400</v>
      </c>
    </row>
    <row r="85" spans="2:7" ht="15">
      <c r="B85" s="6" t="s">
        <v>23</v>
      </c>
      <c r="C85" s="5" t="s">
        <v>1</v>
      </c>
      <c r="D85" s="5" t="s">
        <v>100</v>
      </c>
      <c r="E85" s="5" t="s">
        <v>101</v>
      </c>
      <c r="F85" s="5" t="s">
        <v>6</v>
      </c>
      <c r="G85" s="5" t="s">
        <v>287</v>
      </c>
    </row>
    <row r="86" spans="2:7" ht="12.75">
      <c r="B86" s="6" t="s">
        <v>23</v>
      </c>
      <c r="C86" s="6" t="s">
        <v>467</v>
      </c>
      <c r="D86" s="6" t="s">
        <v>401</v>
      </c>
      <c r="E86" s="7" t="s">
        <v>13</v>
      </c>
      <c r="F86" s="7" t="s">
        <v>394</v>
      </c>
      <c r="G86" s="7" t="s">
        <v>525</v>
      </c>
    </row>
    <row r="87" spans="2:7" ht="12.75">
      <c r="B87" s="6" t="s">
        <v>23</v>
      </c>
      <c r="C87" s="6" t="s">
        <v>283</v>
      </c>
      <c r="D87" s="6" t="s">
        <v>401</v>
      </c>
      <c r="E87" s="7" t="s">
        <v>53</v>
      </c>
      <c r="F87" s="7" t="s">
        <v>526</v>
      </c>
      <c r="G87" s="7" t="s">
        <v>527</v>
      </c>
    </row>
    <row r="88" spans="2:7" ht="12.75">
      <c r="B88" s="6" t="s">
        <v>23</v>
      </c>
      <c r="C88" s="6" t="s">
        <v>110</v>
      </c>
      <c r="D88" s="6" t="s">
        <v>401</v>
      </c>
      <c r="E88" s="7" t="s">
        <v>24</v>
      </c>
      <c r="F88" s="7" t="s">
        <v>528</v>
      </c>
      <c r="G88" s="7" t="s">
        <v>529</v>
      </c>
    </row>
    <row r="89" ht="12.75">
      <c r="B89" s="6" t="s">
        <v>23</v>
      </c>
    </row>
  </sheetData>
  <sheetProtection/>
  <mergeCells count="21">
    <mergeCell ref="A1:L2"/>
    <mergeCell ref="H3:I3"/>
    <mergeCell ref="A3:A4"/>
    <mergeCell ref="C3:C4"/>
    <mergeCell ref="D3:D4"/>
    <mergeCell ref="L3:L4"/>
    <mergeCell ref="G3:G4"/>
    <mergeCell ref="F3:F4"/>
    <mergeCell ref="A5:K5"/>
    <mergeCell ref="A8:K8"/>
    <mergeCell ref="A14:K14"/>
    <mergeCell ref="B3:B4"/>
    <mergeCell ref="E3:E4"/>
    <mergeCell ref="J3:J4"/>
    <mergeCell ref="K3:K4"/>
    <mergeCell ref="A71:K71"/>
    <mergeCell ref="A23:K23"/>
    <mergeCell ref="A35:K35"/>
    <mergeCell ref="A44:K44"/>
    <mergeCell ref="A62:K62"/>
    <mergeCell ref="A68:K6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 r:id="rId1"/>
  <headerFooter alignWithMargins="0">
    <oddFooter>&amp;L&amp;G&amp;R&amp;D&amp;T&amp;P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2019-05-28T09:53:13Z</dcterms:modified>
  <cp:category/>
  <cp:version/>
  <cp:contentType/>
  <cp:contentStatus/>
</cp:coreProperties>
</file>