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9000" firstSheet="13" activeTab="15"/>
  </bookViews>
  <sheets>
    <sheet name="WRPF люб. ПЛ д_к" sheetId="1" r:id="rId1"/>
    <sheet name="WRPF люб. ПЛ" sheetId="2" r:id="rId2"/>
    <sheet name="WRPF люб. ПЛ д_к класс" sheetId="3" r:id="rId3"/>
    <sheet name="WRPF люб. ПЛ класс" sheetId="4" r:id="rId4"/>
    <sheet name="WRPF люб. Ж+Т д_к" sheetId="5" r:id="rId5"/>
    <sheet name="WRPF люб. Ж+Т" sheetId="6" r:id="rId6"/>
    <sheet name="WEPF люб. Ж+Т" sheetId="7" r:id="rId7"/>
    <sheet name="WRPF люб. Жим д_к" sheetId="8" r:id="rId8"/>
    <sheet name="WRPF люб. Жим" sheetId="9" r:id="rId9"/>
    <sheet name="WRPF люб. Тяга д_к" sheetId="10" r:id="rId10"/>
    <sheet name="WRPF люб. Тяга" sheetId="11" r:id="rId11"/>
    <sheet name="WEPF люб. Тяга" sheetId="12" r:id="rId12"/>
    <sheet name="WEPF люб. Жим д_к мн.сл" sheetId="13" r:id="rId13"/>
    <sheet name="СПР НЖ 1 вес" sheetId="14" r:id="rId14"/>
    <sheet name="СПР НЖ 1 вес д.к." sheetId="15" r:id="rId15"/>
    <sheet name="СПР НЖ 1_2 вес" sheetId="16" r:id="rId16"/>
  </sheets>
  <definedNames/>
  <calcPr fullCalcOnLoad="1"/>
</workbook>
</file>

<file path=xl/sharedStrings.xml><?xml version="1.0" encoding="utf-8"?>
<sst xmlns="http://schemas.openxmlformats.org/spreadsheetml/2006/main" count="3823" uniqueCount="928">
  <si>
    <t>Чемпионат Евразии WRPF/WEPF
WRPF любители Пауэрлифтинг д/к
Волжский/Волгоградская область, 31 марта - 1 апреля 2018 года</t>
  </si>
  <si>
    <t>Место</t>
  </si>
  <si>
    <t>ФИО</t>
  </si>
  <si>
    <t>Возрастная группа
Дата рождения/Возраст</t>
  </si>
  <si>
    <t>Собственный
Вес</t>
  </si>
  <si>
    <t>Wilks</t>
  </si>
  <si>
    <t>Команда</t>
  </si>
  <si>
    <t>Город/область</t>
  </si>
  <si>
    <t>Присед</t>
  </si>
  <si>
    <t>Жим</t>
  </si>
  <si>
    <t>Тяга</t>
  </si>
  <si>
    <t>Сумма</t>
  </si>
  <si>
    <t>Очки</t>
  </si>
  <si>
    <t>Тренер</t>
  </si>
  <si>
    <t>Рек</t>
  </si>
  <si>
    <t>ВЕСОВАЯ КАТЕГОРИЯ   48</t>
  </si>
  <si>
    <t>1</t>
  </si>
  <si>
    <t>Калиниченко Инна</t>
  </si>
  <si>
    <t>Открытая (29.04.1999)/18</t>
  </si>
  <si>
    <t>47,35</t>
  </si>
  <si>
    <t xml:space="preserve">лично </t>
  </si>
  <si>
    <t xml:space="preserve">Волжский/Волгоградская область </t>
  </si>
  <si>
    <t>72,5</t>
  </si>
  <si>
    <t>77,5</t>
  </si>
  <si>
    <t>82,5</t>
  </si>
  <si>
    <t>45,0</t>
  </si>
  <si>
    <t>47,5</t>
  </si>
  <si>
    <t>50,0</t>
  </si>
  <si>
    <t>112,5</t>
  </si>
  <si>
    <t>117,5</t>
  </si>
  <si>
    <t>120,0</t>
  </si>
  <si>
    <t xml:space="preserve">самостоятельно </t>
  </si>
  <si>
    <t/>
  </si>
  <si>
    <t>ВЕСОВАЯ КАТЕГОРИЯ   52</t>
  </si>
  <si>
    <t>Беляева Екатерина</t>
  </si>
  <si>
    <t>Открытая (04.01.1986)/32</t>
  </si>
  <si>
    <t>51,90</t>
  </si>
  <si>
    <t xml:space="preserve">Волгоград/Волгоградская область </t>
  </si>
  <si>
    <t>70,0</t>
  </si>
  <si>
    <t>80,0</t>
  </si>
  <si>
    <t>42,5</t>
  </si>
  <si>
    <t>90,0</t>
  </si>
  <si>
    <t>95,0</t>
  </si>
  <si>
    <t>100,0</t>
  </si>
  <si>
    <t>ВЕСОВАЯ КАТЕГОРИЯ   67.5</t>
  </si>
  <si>
    <t>Серединцева Татьяна</t>
  </si>
  <si>
    <t>Открытая (01.06.1979)/38</t>
  </si>
  <si>
    <t>65,00</t>
  </si>
  <si>
    <t>110,0</t>
  </si>
  <si>
    <t>115,0</t>
  </si>
  <si>
    <t>122,5</t>
  </si>
  <si>
    <t>55,0</t>
  </si>
  <si>
    <t>60,0</t>
  </si>
  <si>
    <t>130,0</t>
  </si>
  <si>
    <t>137,5</t>
  </si>
  <si>
    <t>142,5</t>
  </si>
  <si>
    <t>2</t>
  </si>
  <si>
    <t>Сайдаева Ольга</t>
  </si>
  <si>
    <t>Открытая (04.07.1986)/31</t>
  </si>
  <si>
    <t>66,20</t>
  </si>
  <si>
    <t>105,0</t>
  </si>
  <si>
    <t>125,0</t>
  </si>
  <si>
    <t>135,0</t>
  </si>
  <si>
    <t>140,0</t>
  </si>
  <si>
    <t>Козырев О.</t>
  </si>
  <si>
    <t>3</t>
  </si>
  <si>
    <t>Сережникова Юлия</t>
  </si>
  <si>
    <t>Открытая (30.03.1990)/28</t>
  </si>
  <si>
    <t>67,10</t>
  </si>
  <si>
    <t xml:space="preserve">Elite power </t>
  </si>
  <si>
    <t>85,0</t>
  </si>
  <si>
    <t>102,5</t>
  </si>
  <si>
    <t>52,5</t>
  </si>
  <si>
    <t>127,5</t>
  </si>
  <si>
    <t>4</t>
  </si>
  <si>
    <t>Савельева Кристина</t>
  </si>
  <si>
    <t>Открытая (05.04.1987)/30</t>
  </si>
  <si>
    <t>107,5</t>
  </si>
  <si>
    <t>57,5</t>
  </si>
  <si>
    <t xml:space="preserve">Константинов А. </t>
  </si>
  <si>
    <t>ВЕСОВАЯ КАТЕГОРИЯ   60</t>
  </si>
  <si>
    <t>Алексеенко Сергей</t>
  </si>
  <si>
    <t>Юноши 14-16 (17.02.2004)/14</t>
  </si>
  <si>
    <t>57,60</t>
  </si>
  <si>
    <t>75,0</t>
  </si>
  <si>
    <t>Рахманов Руслан</t>
  </si>
  <si>
    <t>Открытая (24.08.1995)/22</t>
  </si>
  <si>
    <t xml:space="preserve">ВолГУ </t>
  </si>
  <si>
    <t>145,0</t>
  </si>
  <si>
    <t>97,5</t>
  </si>
  <si>
    <t>205,0</t>
  </si>
  <si>
    <t>225,0</t>
  </si>
  <si>
    <t>Никитин С.</t>
  </si>
  <si>
    <t>ВЕСОВАЯ КАТЕГОРИЯ   75</t>
  </si>
  <si>
    <t>Текутьев Дмитрий</t>
  </si>
  <si>
    <t>Юноши 17-19 (08.08.1999)/18</t>
  </si>
  <si>
    <t>71,30</t>
  </si>
  <si>
    <t xml:space="preserve">ст. Красноярская/Ростовская область </t>
  </si>
  <si>
    <t>175,0</t>
  </si>
  <si>
    <t>182,5</t>
  </si>
  <si>
    <t>215,0</t>
  </si>
  <si>
    <t>Девляшов Степан</t>
  </si>
  <si>
    <t>Юноши 17-19 (25.09.1998)/19</t>
  </si>
  <si>
    <t>71,10</t>
  </si>
  <si>
    <t>150,0</t>
  </si>
  <si>
    <t>165,0</t>
  </si>
  <si>
    <t>185,0</t>
  </si>
  <si>
    <t>ВЕСОВАЯ КАТЕГОРИЯ   82.5</t>
  </si>
  <si>
    <t>Паутов Евгений</t>
  </si>
  <si>
    <t>Юноши 14-16 (10.02.2004)/14</t>
  </si>
  <si>
    <t>75,80</t>
  </si>
  <si>
    <t>40,0</t>
  </si>
  <si>
    <t>Козырев  О.</t>
  </si>
  <si>
    <t>Ивченко Владислав</t>
  </si>
  <si>
    <t>Юноши 17-19 (22.07.1998)/19</t>
  </si>
  <si>
    <t>81,10</t>
  </si>
  <si>
    <t>157,5</t>
  </si>
  <si>
    <t>92,5</t>
  </si>
  <si>
    <t>200,0</t>
  </si>
  <si>
    <t>ВЕСОВАЯ КАТЕГОРИЯ   90</t>
  </si>
  <si>
    <t>Луценко Денис</t>
  </si>
  <si>
    <t>Юноши 17-19 (29.01.2002)/16</t>
  </si>
  <si>
    <t>84,60</t>
  </si>
  <si>
    <t>160,0</t>
  </si>
  <si>
    <t>170,0</t>
  </si>
  <si>
    <t>180,0</t>
  </si>
  <si>
    <t>Лопырев Владимир</t>
  </si>
  <si>
    <t>Открытая (05.08.1972)/45</t>
  </si>
  <si>
    <t>87,90</t>
  </si>
  <si>
    <t xml:space="preserve">Астрахань/Астраханская область </t>
  </si>
  <si>
    <t>190,0</t>
  </si>
  <si>
    <t>195,0</t>
  </si>
  <si>
    <t>152,5</t>
  </si>
  <si>
    <t>222,5</t>
  </si>
  <si>
    <t>Давтян А.</t>
  </si>
  <si>
    <t>Конисов Жасулан</t>
  </si>
  <si>
    <t>Открытая (01.01.1982)/36</t>
  </si>
  <si>
    <t>89,50</t>
  </si>
  <si>
    <t xml:space="preserve">Алматы/Алматинская </t>
  </si>
  <si>
    <t>-</t>
  </si>
  <si>
    <t>Рогальский Тимофей</t>
  </si>
  <si>
    <t>Открытая (29.09.1991)/26</t>
  </si>
  <si>
    <t>89,20</t>
  </si>
  <si>
    <t>0,0</t>
  </si>
  <si>
    <t>Симонян К.</t>
  </si>
  <si>
    <t>ВЕСОВАЯ КАТЕГОРИЯ   100</t>
  </si>
  <si>
    <t>Гольдштейн Павел</t>
  </si>
  <si>
    <t>Открытая (30.07.1978)/39</t>
  </si>
  <si>
    <t>96,50</t>
  </si>
  <si>
    <t>210,0</t>
  </si>
  <si>
    <t>217,5</t>
  </si>
  <si>
    <t>Суняев Юрий</t>
  </si>
  <si>
    <t>Мастера 50-59 (06.04.1965)/52</t>
  </si>
  <si>
    <t>91,70</t>
  </si>
  <si>
    <t xml:space="preserve">Фролово/Волгоградская область </t>
  </si>
  <si>
    <t>155,0</t>
  </si>
  <si>
    <t>ВЕСОВАЯ КАТЕГОРИЯ   110</t>
  </si>
  <si>
    <t>Шибарин Виктор</t>
  </si>
  <si>
    <t>Открытая (17.01.1989)/29</t>
  </si>
  <si>
    <t>106,50</t>
  </si>
  <si>
    <t xml:space="preserve">Энгельс/Саратовская область </t>
  </si>
  <si>
    <t>230,0</t>
  </si>
  <si>
    <t>172,5</t>
  </si>
  <si>
    <t>245,0</t>
  </si>
  <si>
    <t>260,0</t>
  </si>
  <si>
    <t>270,0</t>
  </si>
  <si>
    <t>Чибасов Эдуард</t>
  </si>
  <si>
    <t>Открытая (26.07.1993)/24</t>
  </si>
  <si>
    <t>100,90</t>
  </si>
  <si>
    <t>ВЕСОВАЯ КАТЕГОРИЯ   125</t>
  </si>
  <si>
    <t>Трепшин Валентин</t>
  </si>
  <si>
    <t>Открытая (10.06.1987)/30</t>
  </si>
  <si>
    <t>111,20</t>
  </si>
  <si>
    <t>240,0</t>
  </si>
  <si>
    <t>Казанцев Ю.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</si>
  <si>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</si>
  <si>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</si>
  <si>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</si>
  <si>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</si>
  <si>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</si>
  <si>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</si>
  <si>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</si>
  <si>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</si>
  <si>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48,0</t>
  </si>
  <si>
    <t>365,9320</t>
  </si>
  <si>
    <t>67,5</t>
  </si>
  <si>
    <t>325,0</t>
  </si>
  <si>
    <t>340,9575</t>
  </si>
  <si>
    <t>307,5</t>
  </si>
  <si>
    <t>318,2932</t>
  </si>
  <si>
    <t xml:space="preserve">Мужчины </t>
  </si>
  <si>
    <t>680,0</t>
  </si>
  <si>
    <t>404,3280</t>
  </si>
  <si>
    <t>475,0</t>
  </si>
  <si>
    <t>372,0200</t>
  </si>
  <si>
    <t>570,0</t>
  </si>
  <si>
    <t>368,3910</t>
  </si>
  <si>
    <t>Чемпионат Евразии WRPF/WEPF
WRPF любители Пауэрлифтинг
Волжский/Волгоградская область, 31 марта - 1 апреля 2018 года</t>
  </si>
  <si>
    <t>Алтай Айгерим</t>
  </si>
  <si>
    <t>Девушки 14-16 (13.01.2004)/14</t>
  </si>
  <si>
    <t>46,10</t>
  </si>
  <si>
    <t>Алматы/Алматинская область</t>
  </si>
  <si>
    <t>25,0</t>
  </si>
  <si>
    <t>27,5</t>
  </si>
  <si>
    <t>30,0</t>
  </si>
  <si>
    <t>65,0</t>
  </si>
  <si>
    <t>Конисов Ж.</t>
  </si>
  <si>
    <t>Горб Татьяна</t>
  </si>
  <si>
    <t>Девушки 17-19 (10.05.1998)/19</t>
  </si>
  <si>
    <t>51,50</t>
  </si>
  <si>
    <t>Конкина Мария</t>
  </si>
  <si>
    <t>Девушки 17-19 (15.10.1999)/18</t>
  </si>
  <si>
    <t>51,30</t>
  </si>
  <si>
    <t>87,5</t>
  </si>
  <si>
    <t>35,0</t>
  </si>
  <si>
    <t>Туманов А.</t>
  </si>
  <si>
    <t>Хасанова Алина</t>
  </si>
  <si>
    <t>Девушки 17-19 (24.07.1999)/18</t>
  </si>
  <si>
    <t>ВЕСОВАЯ КАТЕГОРИЯ   56</t>
  </si>
  <si>
    <t>Землянская Лаурита</t>
  </si>
  <si>
    <t>Девушки 14-16 (02.05.2001)/16</t>
  </si>
  <si>
    <t>55,50</t>
  </si>
  <si>
    <t>Бесполудин А.</t>
  </si>
  <si>
    <t>Прохоренко Ольга</t>
  </si>
  <si>
    <t>Открытая (03.01.1979)/39</t>
  </si>
  <si>
    <t>57,00</t>
  </si>
  <si>
    <t xml:space="preserve">Волгодонск/Ростовская область </t>
  </si>
  <si>
    <t>Гетманова Дарья</t>
  </si>
  <si>
    <t>Девушки 14-16 (29.11.2002)/15</t>
  </si>
  <si>
    <t>74,30</t>
  </si>
  <si>
    <t>Пименова Елена</t>
  </si>
  <si>
    <t>Открытая (13.08.1984)/33</t>
  </si>
  <si>
    <t>74,50</t>
  </si>
  <si>
    <t xml:space="preserve">Саратов/Саратовская область </t>
  </si>
  <si>
    <t>Чередниченко Иван</t>
  </si>
  <si>
    <t>Юниоры (11.09.1995)/22</t>
  </si>
  <si>
    <t>74,00</t>
  </si>
  <si>
    <t xml:space="preserve">Михайловка/Волгоградская область </t>
  </si>
  <si>
    <t>Чередниченко А.</t>
  </si>
  <si>
    <t>Бескровный Илья</t>
  </si>
  <si>
    <t>Юноши 14-16 (27.03.2004)/14</t>
  </si>
  <si>
    <t>87,00</t>
  </si>
  <si>
    <t>Яловенко Денис</t>
  </si>
  <si>
    <t>Открытая (01.01.1981)/37</t>
  </si>
  <si>
    <t>84,70</t>
  </si>
  <si>
    <t>147,5</t>
  </si>
  <si>
    <t>162,5</t>
  </si>
  <si>
    <t>Благодырев Алексей</t>
  </si>
  <si>
    <t>Открытая (03.07.1991)/26</t>
  </si>
  <si>
    <t>89,40</t>
  </si>
  <si>
    <t>Лозыченко Константин</t>
  </si>
  <si>
    <t>Мастера 40-49 (11.01.1972)/46</t>
  </si>
  <si>
    <t>96,80</t>
  </si>
  <si>
    <t>220,0</t>
  </si>
  <si>
    <t>235,0</t>
  </si>
  <si>
    <t>Баушев Владимир</t>
  </si>
  <si>
    <t>Мастера 40-49 (17.03.1977)/41</t>
  </si>
  <si>
    <t>105,80</t>
  </si>
  <si>
    <t>Зотов Тихон</t>
  </si>
  <si>
    <t>Юниоры (31.10.1995)/22</t>
  </si>
  <si>
    <t>119,80</t>
  </si>
  <si>
    <t>265,0</t>
  </si>
  <si>
    <t>280,0</t>
  </si>
  <si>
    <t>285,0</t>
  </si>
  <si>
    <t>Чемпионат Евразии WRPF/WEPF
WRPF любители Пауэрлифтинг д/к классический
Волжский/Волгоградская область, 31 марта - 1 апреля 2018 года</t>
  </si>
  <si>
    <t>Дудкина Анна</t>
  </si>
  <si>
    <t>Юниорки (27.03.1996)/22</t>
  </si>
  <si>
    <t>60,00</t>
  </si>
  <si>
    <t>Попков Дмитрий</t>
  </si>
  <si>
    <t>Открытая (21.05.1984)/33</t>
  </si>
  <si>
    <t>72,80</t>
  </si>
  <si>
    <t xml:space="preserve">Долгов А. </t>
  </si>
  <si>
    <t>Омельяненко Сергей</t>
  </si>
  <si>
    <t>Открытая (12.12.1989)/28</t>
  </si>
  <si>
    <t>73,60</t>
  </si>
  <si>
    <t>Шалунов Николай</t>
  </si>
  <si>
    <t>Юноши 14-16 (02.06.2001)/16</t>
  </si>
  <si>
    <t>78,90</t>
  </si>
  <si>
    <t>Николаев Дмитрий</t>
  </si>
  <si>
    <t>Юноши 14-16 (18.01.2002)/16</t>
  </si>
  <si>
    <t>77,60</t>
  </si>
  <si>
    <t>177,5</t>
  </si>
  <si>
    <t>Прохоров Андрей</t>
  </si>
  <si>
    <t>Юниоры (06.12.1996)/21</t>
  </si>
  <si>
    <t>80,10</t>
  </si>
  <si>
    <t>Иващенко Константин</t>
  </si>
  <si>
    <t>Открытая (06.02.1991)/27</t>
  </si>
  <si>
    <t>99,90</t>
  </si>
  <si>
    <t>Муравьев Александр</t>
  </si>
  <si>
    <t>Открытая (31.10.1979)/38</t>
  </si>
  <si>
    <t>117,60</t>
  </si>
  <si>
    <t>237,5</t>
  </si>
  <si>
    <t>Чемпионат Евразии WRPF/WEPF
WRPF любители Пауэрлифтинг классический
Волжский/Волгоградская область, 31 марта - 1 апреля 2018 года</t>
  </si>
  <si>
    <t>Морозова Марина</t>
  </si>
  <si>
    <t>Открытая (09.10.1978)/39</t>
  </si>
  <si>
    <t>Медведева Ю.</t>
  </si>
  <si>
    <t>Корсунов Илья</t>
  </si>
  <si>
    <t>Открытая (27.06.1990)/27</t>
  </si>
  <si>
    <t>74,40</t>
  </si>
  <si>
    <t>132,5</t>
  </si>
  <si>
    <t>252,5</t>
  </si>
  <si>
    <t xml:space="preserve"> Давтян А.</t>
  </si>
  <si>
    <t>Сарин Булат</t>
  </si>
  <si>
    <t>Открытая (15.01.1983)/35</t>
  </si>
  <si>
    <t>69,30</t>
  </si>
  <si>
    <t>Соболев Константин</t>
  </si>
  <si>
    <t>Открытая (04.04.1980)/37</t>
  </si>
  <si>
    <t>80,00</t>
  </si>
  <si>
    <t>227,5</t>
  </si>
  <si>
    <t>232,5</t>
  </si>
  <si>
    <t>Нозренков Сергей</t>
  </si>
  <si>
    <t>Открытая (05.03.1989)/29</t>
  </si>
  <si>
    <t>Терехин Константин</t>
  </si>
  <si>
    <t>Открытая (21.12.1985)/32</t>
  </si>
  <si>
    <t>88,10</t>
  </si>
  <si>
    <t>Беляков Андрей</t>
  </si>
  <si>
    <t>Мастера 40-49 (12.08.1974)/43</t>
  </si>
  <si>
    <t>89,00</t>
  </si>
  <si>
    <t>Гончаров Денис</t>
  </si>
  <si>
    <t>Юниоры (19.11.1996)/21</t>
  </si>
  <si>
    <t>95,40</t>
  </si>
  <si>
    <t>250,0</t>
  </si>
  <si>
    <t>Воробьев Игорь</t>
  </si>
  <si>
    <t>Открытая (18.06.1994)/23</t>
  </si>
  <si>
    <t>97,40</t>
  </si>
  <si>
    <t>300,0</t>
  </si>
  <si>
    <t>315,0</t>
  </si>
  <si>
    <t>330,0</t>
  </si>
  <si>
    <t>320,0</t>
  </si>
  <si>
    <t>335,0</t>
  </si>
  <si>
    <t>340,0</t>
  </si>
  <si>
    <t>350,0</t>
  </si>
  <si>
    <t>Мароз Артем</t>
  </si>
  <si>
    <t>Открытая (05.07.1986)/31</t>
  </si>
  <si>
    <t>98,30</t>
  </si>
  <si>
    <t>Выпов Сергей</t>
  </si>
  <si>
    <t>Открытая (17.08.1981)/36</t>
  </si>
  <si>
    <t>97,90</t>
  </si>
  <si>
    <t>Демидов Алексей</t>
  </si>
  <si>
    <t>Открытая (23.04.1981)/36</t>
  </si>
  <si>
    <t>212,5</t>
  </si>
  <si>
    <t>Слепцов Максим</t>
  </si>
  <si>
    <t>Мастера 40-49 (18.06.1977)/40</t>
  </si>
  <si>
    <t>99,50</t>
  </si>
  <si>
    <t>Туманов Андрей</t>
  </si>
  <si>
    <t>Юниоры (02.04.1995)/22</t>
  </si>
  <si>
    <t>290,0</t>
  </si>
  <si>
    <t>ВЕСОВАЯ КАТЕГОРИЯ   140</t>
  </si>
  <si>
    <t>Худунц Размик</t>
  </si>
  <si>
    <t>Открытая (07.10.1995)/22</t>
  </si>
  <si>
    <t>130,20</t>
  </si>
  <si>
    <t>365,0</t>
  </si>
  <si>
    <t>375,0</t>
  </si>
  <si>
    <t>855,0</t>
  </si>
  <si>
    <t>525,9960</t>
  </si>
  <si>
    <t>875,0</t>
  </si>
  <si>
    <t>494,7250</t>
  </si>
  <si>
    <t>600,0</t>
  </si>
  <si>
    <t>409,6200</t>
  </si>
  <si>
    <t>Чемпионат Евразии WRPF/WEPF
WRPF любители 2е борье жим+тяга д/к
Волжский/Волгоградская область, 31 марта - 1 апреля 2018 года</t>
  </si>
  <si>
    <t>Лопырев Александр</t>
  </si>
  <si>
    <t>Открытая (03.01.1995)/23</t>
  </si>
  <si>
    <t>88,50</t>
  </si>
  <si>
    <t>Круглов Владимир</t>
  </si>
  <si>
    <t>Открытая (17.03.1983)/35</t>
  </si>
  <si>
    <t>90,00</t>
  </si>
  <si>
    <t>Назаров Алексей</t>
  </si>
  <si>
    <t>Открытая (28.01.1990)/28</t>
  </si>
  <si>
    <t>98,00</t>
  </si>
  <si>
    <t>275,0</t>
  </si>
  <si>
    <t>Амчеславский Сергей</t>
  </si>
  <si>
    <t>Открытая (14.04.1987)/30</t>
  </si>
  <si>
    <t>99,00</t>
  </si>
  <si>
    <t>247,5</t>
  </si>
  <si>
    <t>257,5</t>
  </si>
  <si>
    <t>Шелестов Василий</t>
  </si>
  <si>
    <t>Открытая (11.11.1975)/42</t>
  </si>
  <si>
    <t>105,20</t>
  </si>
  <si>
    <t xml:space="preserve">Титаниум </t>
  </si>
  <si>
    <t xml:space="preserve">Котельниково/Волгоградская область </t>
  </si>
  <si>
    <t>192,5</t>
  </si>
  <si>
    <t>197,5</t>
  </si>
  <si>
    <t>255,0</t>
  </si>
  <si>
    <t xml:space="preserve">Курносов Е.  </t>
  </si>
  <si>
    <t>Буйлов Александр</t>
  </si>
  <si>
    <t>Открытая (16.12.1988)/29</t>
  </si>
  <si>
    <t>107,70</t>
  </si>
  <si>
    <t xml:space="preserve">Киселёв А. </t>
  </si>
  <si>
    <t>Харитонов Юрий</t>
  </si>
  <si>
    <t>Открытая (08.03.1982)/36</t>
  </si>
  <si>
    <t>106,30</t>
  </si>
  <si>
    <t>462,5</t>
  </si>
  <si>
    <t>276,2050</t>
  </si>
  <si>
    <t>258,4560</t>
  </si>
  <si>
    <t>395,0</t>
  </si>
  <si>
    <t>254,3800</t>
  </si>
  <si>
    <t>Чемпионат Евразии WRPF/WEPF
WRPF любители 2е борье жим+тяга
Волжский/Волгоградская область, 31 марта - 1 апреля 2018 года</t>
  </si>
  <si>
    <t>Малиновская Виктория</t>
  </si>
  <si>
    <t>Открытая (05.10.1983)/34</t>
  </si>
  <si>
    <t>58,40</t>
  </si>
  <si>
    <t xml:space="preserve">Козырев О. </t>
  </si>
  <si>
    <t>Железный Сергей</t>
  </si>
  <si>
    <t>Юниоры (29.09.1997)/20</t>
  </si>
  <si>
    <t>79,40</t>
  </si>
  <si>
    <t>Никитин  Н.</t>
  </si>
  <si>
    <t>Асфандиаров Александр</t>
  </si>
  <si>
    <t>Открытая (05.05.1983)/34</t>
  </si>
  <si>
    <t>82,50</t>
  </si>
  <si>
    <t>Киселев А.</t>
  </si>
  <si>
    <t>262,5</t>
  </si>
  <si>
    <t>Смирнов Денис</t>
  </si>
  <si>
    <t>Открытая (16.05.1992)/25</t>
  </si>
  <si>
    <t>85,50</t>
  </si>
  <si>
    <t>Курносов Евгений</t>
  </si>
  <si>
    <t>Открытая (28.03.1991)/27</t>
  </si>
  <si>
    <t>94,60</t>
  </si>
  <si>
    <t>167,5</t>
  </si>
  <si>
    <t>Грезнев Дмитрий</t>
  </si>
  <si>
    <t>Открытая (26.11.1974)/43</t>
  </si>
  <si>
    <t>106,00</t>
  </si>
  <si>
    <t xml:space="preserve">ст. Нехаевская/Волгоградская область </t>
  </si>
  <si>
    <t>187,5</t>
  </si>
  <si>
    <t>Немкевич Евгений</t>
  </si>
  <si>
    <t>Открытая (28.06.1982)/35</t>
  </si>
  <si>
    <t>107,30</t>
  </si>
  <si>
    <t xml:space="preserve">Ростов-на-Дону/Ростовская область </t>
  </si>
  <si>
    <t>Гамзабеков Саид</t>
  </si>
  <si>
    <t>Открытая (15.10.1991)/26</t>
  </si>
  <si>
    <t>103,00</t>
  </si>
  <si>
    <t xml:space="preserve">Ростов/Ярославская область </t>
  </si>
  <si>
    <t>Мастера 40-49 (26.11.1974)/43</t>
  </si>
  <si>
    <t>480,0</t>
  </si>
  <si>
    <t>285,8880</t>
  </si>
  <si>
    <t>435,0</t>
  </si>
  <si>
    <t>278,6610</t>
  </si>
  <si>
    <t>Немкеч Евгений</t>
  </si>
  <si>
    <t>445,0</t>
  </si>
  <si>
    <t>263,9740</t>
  </si>
  <si>
    <t>Чемпионат Евразии WRPF/WEPF
WEPF любители 2е борье жим+тяга
Волжский/Волгоградская область, 31 марта - 1 апреля 2018 года</t>
  </si>
  <si>
    <t>Результат</t>
  </si>
  <si>
    <t>Куликов Станислав</t>
  </si>
  <si>
    <t>Открытая (29.11.1978)/39</t>
  </si>
  <si>
    <t>99,80</t>
  </si>
  <si>
    <t>самостоятельно</t>
  </si>
  <si>
    <t>Чемпионат Евразии WRPF/WEPF
WRPF любители Жим штанги лежа д/к
Волжский/Волгоградская область, 31 марта - 1 апреля 2018 года</t>
  </si>
  <si>
    <t>ВЕСОВАЯ КАТЕГОРИЯ   44</t>
  </si>
  <si>
    <t>Лопырева Дарья</t>
  </si>
  <si>
    <t>Девушки 14-16 (28.10.2004)/13</t>
  </si>
  <si>
    <t>36,40</t>
  </si>
  <si>
    <t>Мельникова Елена</t>
  </si>
  <si>
    <t>Открытая (16.06.1988)/29</t>
  </si>
  <si>
    <t>48,00</t>
  </si>
  <si>
    <t xml:space="preserve">Камышин/Волгоградская область </t>
  </si>
  <si>
    <t>Ризаева  О.</t>
  </si>
  <si>
    <t>Черноусова Анастасия</t>
  </si>
  <si>
    <t>Девушки 17-19 (06.09.1999)/18</t>
  </si>
  <si>
    <t>50,50</t>
  </si>
  <si>
    <t>Леонова Ольга</t>
  </si>
  <si>
    <t>Юниорки (27.09.1995)/22</t>
  </si>
  <si>
    <t>54,70</t>
  </si>
  <si>
    <t>Якушева Яна</t>
  </si>
  <si>
    <t>Открытая (22.10.1990)/27</t>
  </si>
  <si>
    <t>52,50</t>
  </si>
  <si>
    <t>Любимов С.</t>
  </si>
  <si>
    <t>Ризаев Родион</t>
  </si>
  <si>
    <t>Юноши 14-16 (16.01.2004)/14</t>
  </si>
  <si>
    <t>31,20</t>
  </si>
  <si>
    <t>20,0</t>
  </si>
  <si>
    <t>22,5</t>
  </si>
  <si>
    <t>Ризаева О.</t>
  </si>
  <si>
    <t>Петров Алексей</t>
  </si>
  <si>
    <t>Юноши 14-16 (05.08.2002)/15</t>
  </si>
  <si>
    <t>53,50</t>
  </si>
  <si>
    <t>Курносов Е.</t>
  </si>
  <si>
    <t>Кузнецов Алексей</t>
  </si>
  <si>
    <t>Юноши 17-19 (25.07.1998)/19</t>
  </si>
  <si>
    <t>56,00</t>
  </si>
  <si>
    <t>Реутов М.</t>
  </si>
  <si>
    <t>Махфузов Афраим</t>
  </si>
  <si>
    <t>Юниоры (19.10.1997)/20</t>
  </si>
  <si>
    <t>59,70</t>
  </si>
  <si>
    <t xml:space="preserve">Валуйки/Белгородская область </t>
  </si>
  <si>
    <t>Молодов Александр</t>
  </si>
  <si>
    <t>Юноши 14-16 (06.10.2002)/15</t>
  </si>
  <si>
    <t>64,80</t>
  </si>
  <si>
    <t>Решетов  Н</t>
  </si>
  <si>
    <t>Балашов Владислав</t>
  </si>
  <si>
    <t>Юноши 17-19 (19.03.2001)/17</t>
  </si>
  <si>
    <t>63,80</t>
  </si>
  <si>
    <t>Юниоры (24.08.1995)/22</t>
  </si>
  <si>
    <t>Вавилов Вячеслав</t>
  </si>
  <si>
    <t>Открытая (02.08.1990)/27</t>
  </si>
  <si>
    <t>66,60</t>
  </si>
  <si>
    <t>Попов Игорь</t>
  </si>
  <si>
    <t>Мастера 40-49 (03.08.1968)/49</t>
  </si>
  <si>
    <t>67,00</t>
  </si>
  <si>
    <t>Айвазян Размик</t>
  </si>
  <si>
    <t>Мастера 60-69 (28.12.1957)/60</t>
  </si>
  <si>
    <t>67,50</t>
  </si>
  <si>
    <t xml:space="preserve">пгт Светлый Яр/Волгоградская область  </t>
  </si>
  <si>
    <t>Двизов Ю.</t>
  </si>
  <si>
    <t>Карплюк Максим</t>
  </si>
  <si>
    <t>Юноши 17-19 (06.12.1999)/18</t>
  </si>
  <si>
    <t>74,20</t>
  </si>
  <si>
    <t xml:space="preserve">пгт Светлый Яр/Волгоградская область </t>
  </si>
  <si>
    <t>Васильев Валерий</t>
  </si>
  <si>
    <t>Открытая (22.07.1985)/32</t>
  </si>
  <si>
    <t>Колодежный Вячеслав</t>
  </si>
  <si>
    <t>Открытая (19.06.1989)/28</t>
  </si>
  <si>
    <t>72,50</t>
  </si>
  <si>
    <t>Новиков Михаил</t>
  </si>
  <si>
    <t>Открытая (17.03.1987)/31</t>
  </si>
  <si>
    <t>Бугров Максим</t>
  </si>
  <si>
    <t>Открытая (20.08.1987)/30</t>
  </si>
  <si>
    <t>75,00</t>
  </si>
  <si>
    <t>Григорьева Е.</t>
  </si>
  <si>
    <t>Двизов Юрий</t>
  </si>
  <si>
    <t>Мастера 70-79 (05.02.1947)/71</t>
  </si>
  <si>
    <t>74,70</t>
  </si>
  <si>
    <t>Приймаков Александр</t>
  </si>
  <si>
    <t>Юниоры (23.07.1995)/22</t>
  </si>
  <si>
    <t>Раков И.</t>
  </si>
  <si>
    <t>Чупик Кирилл</t>
  </si>
  <si>
    <t>Юниоры (21.12.1997)/20</t>
  </si>
  <si>
    <t>79,90</t>
  </si>
  <si>
    <t>Лебедев Евгений</t>
  </si>
  <si>
    <t>Открытая (29.08.1987)/30</t>
  </si>
  <si>
    <t>Комаров Сергей</t>
  </si>
  <si>
    <t>Открытая (27.07.1985)/32</t>
  </si>
  <si>
    <t>81,90</t>
  </si>
  <si>
    <t>Попов Александр</t>
  </si>
  <si>
    <t>Открытая (18.11.1986)/31</t>
  </si>
  <si>
    <t>81,20</t>
  </si>
  <si>
    <t>Бочаров Александр</t>
  </si>
  <si>
    <t>Открытая (15.04.1992)/25</t>
  </si>
  <si>
    <t>79,50</t>
  </si>
  <si>
    <t>Маливанов Алексей</t>
  </si>
  <si>
    <t>Юниоры (13.03.1995)/23</t>
  </si>
  <si>
    <t>Филимонов Олег</t>
  </si>
  <si>
    <t>Открытая (12.03.1987)/31</t>
  </si>
  <si>
    <t>89,70</t>
  </si>
  <si>
    <t>Гузев П.</t>
  </si>
  <si>
    <t>Давтян Артур</t>
  </si>
  <si>
    <t>Открытая (15.04.1988)/29</t>
  </si>
  <si>
    <t>85,00</t>
  </si>
  <si>
    <t>Галич Сергей</t>
  </si>
  <si>
    <t>Открытая (03.06.1991)/26</t>
  </si>
  <si>
    <t>5</t>
  </si>
  <si>
    <t>Аблеев Дамир</t>
  </si>
  <si>
    <t>Открытая (26.09.1988)/29</t>
  </si>
  <si>
    <t>6</t>
  </si>
  <si>
    <t>7</t>
  </si>
  <si>
    <t>Сайдаев Тимур</t>
  </si>
  <si>
    <t>Открытая (10.03.1981)/37</t>
  </si>
  <si>
    <t>88,70</t>
  </si>
  <si>
    <t>8</t>
  </si>
  <si>
    <t>Разгонин Геннадий</t>
  </si>
  <si>
    <t>Открытая (07.09.1986)/31</t>
  </si>
  <si>
    <t>Мастера 40-49 (05.08.1972)/45</t>
  </si>
  <si>
    <t>Завьялов Денис</t>
  </si>
  <si>
    <t>Юноши 14-16 (20.01.2001)/17</t>
  </si>
  <si>
    <t>Петрыкин Владимир</t>
  </si>
  <si>
    <t>Открытая (25.09.1981)/36</t>
  </si>
  <si>
    <t>Морозов А.</t>
  </si>
  <si>
    <t>Кирьянов Алексей</t>
  </si>
  <si>
    <t>Открытая (07.04.1989)/28</t>
  </si>
  <si>
    <t>100,00</t>
  </si>
  <si>
    <t>Долгов А.</t>
  </si>
  <si>
    <t>Сергеев Максим</t>
  </si>
  <si>
    <t>Открытая (27.01.1992)/26</t>
  </si>
  <si>
    <t>Нилов Николай</t>
  </si>
  <si>
    <t>Открытая (04.10.1982)/35</t>
  </si>
  <si>
    <t>96,20</t>
  </si>
  <si>
    <t>Письменный Павел</t>
  </si>
  <si>
    <t>Открытая (14.08.1988)/29</t>
  </si>
  <si>
    <t>96,70</t>
  </si>
  <si>
    <t>Кочеваткин Д.</t>
  </si>
  <si>
    <t>Близнюк Александр</t>
  </si>
  <si>
    <t>Открытая (06.10.1982)/35</t>
  </si>
  <si>
    <t>98,40</t>
  </si>
  <si>
    <t>Гейнце Виктор</t>
  </si>
  <si>
    <t>Открытая (11.06.1990)/27</t>
  </si>
  <si>
    <t>93,80</t>
  </si>
  <si>
    <t>Назаренко Денис</t>
  </si>
  <si>
    <t>Открытая (03.02.1987)/31</t>
  </si>
  <si>
    <t>99,20</t>
  </si>
  <si>
    <t>Рудых Вячеслав</t>
  </si>
  <si>
    <t>Мастера 40-49 (28.12.1972)/45</t>
  </si>
  <si>
    <t>99,60</t>
  </si>
  <si>
    <t>Ефремов А.</t>
  </si>
  <si>
    <t>Журлов Сергей</t>
  </si>
  <si>
    <t>Мастера 40-49 (13.08.1969)/48</t>
  </si>
  <si>
    <t>109,00</t>
  </si>
  <si>
    <t xml:space="preserve">Айронвар </t>
  </si>
  <si>
    <t>147,0850</t>
  </si>
  <si>
    <t>118,1180</t>
  </si>
  <si>
    <t>114,9610</t>
  </si>
  <si>
    <t>Чемпионат Евразии WRPF/WEPF
WRPF любители Жим штанги лежа
Волжский/Волгоградская область, 31 марта - 1 апреля 2018 года</t>
  </si>
  <si>
    <t>Сапронова Татьяна</t>
  </si>
  <si>
    <t>Юниорки (20.08.1995)/22</t>
  </si>
  <si>
    <t>Михайлова Юлия</t>
  </si>
  <si>
    <t>Открытая (18.02.1982)/36</t>
  </si>
  <si>
    <t>Бареев Александр</t>
  </si>
  <si>
    <t>Юниоры (13.01.1995)/23</t>
  </si>
  <si>
    <t>Новиков Константин</t>
  </si>
  <si>
    <t>Юниоры (25.07.1995)/22</t>
  </si>
  <si>
    <t>72,60</t>
  </si>
  <si>
    <t>Абдюшев Артур</t>
  </si>
  <si>
    <t>Открытая (28.02.1993)/25</t>
  </si>
  <si>
    <t>73,50</t>
  </si>
  <si>
    <t>Васютенко Валерий</t>
  </si>
  <si>
    <t>Юноши 17-19 (15.04.1998)/19</t>
  </si>
  <si>
    <t>77,50</t>
  </si>
  <si>
    <t>Рукавишников Руслан</t>
  </si>
  <si>
    <t>Юниоры (29.07.1994)/23</t>
  </si>
  <si>
    <t>80,50</t>
  </si>
  <si>
    <t xml:space="preserve">Тихорецк/Краснодарский край </t>
  </si>
  <si>
    <t>Гадышев Артем</t>
  </si>
  <si>
    <t>Открытая (07.09.1989)/28</t>
  </si>
  <si>
    <t>82,40</t>
  </si>
  <si>
    <t>Полянский Д.</t>
  </si>
  <si>
    <t>Шкарпетин Андрей</t>
  </si>
  <si>
    <t>Открытая (28.04.1990)/27</t>
  </si>
  <si>
    <t>89,90</t>
  </si>
  <si>
    <t>202,5</t>
  </si>
  <si>
    <t>Кузнецов Сергей</t>
  </si>
  <si>
    <t>Открытая (28.11.1990)/27</t>
  </si>
  <si>
    <t>87,50</t>
  </si>
  <si>
    <t>Нисенбаум Олег</t>
  </si>
  <si>
    <t>Открытая (16.06.1979)/38</t>
  </si>
  <si>
    <t>87,70</t>
  </si>
  <si>
    <t>Адамович Александр</t>
  </si>
  <si>
    <t>Мастера 40-49 (23.12.1970)/47</t>
  </si>
  <si>
    <t>86,70</t>
  </si>
  <si>
    <t>Ахмедов Асаф</t>
  </si>
  <si>
    <t>Мастера 50-59 (23.07.1965)/52</t>
  </si>
  <si>
    <t>88,90</t>
  </si>
  <si>
    <t>Галкин Антон</t>
  </si>
  <si>
    <t>Открытая (29.04.1987)/30</t>
  </si>
  <si>
    <t>94,20</t>
  </si>
  <si>
    <t>Евсеев Алексей</t>
  </si>
  <si>
    <t>Открытая (20.06.1983)/34</t>
  </si>
  <si>
    <t>94,70</t>
  </si>
  <si>
    <t>Овсянников Дмитрий</t>
  </si>
  <si>
    <t>Открытая (26.08.1984)/33</t>
  </si>
  <si>
    <t xml:space="preserve"> Тарасов А.</t>
  </si>
  <si>
    <t>Чупик Алексей</t>
  </si>
  <si>
    <t>Открытая (15.12.1989)/28</t>
  </si>
  <si>
    <t>91,60</t>
  </si>
  <si>
    <t xml:space="preserve"> Дьяконов Д.</t>
  </si>
  <si>
    <t>Агарзаев Эльдар</t>
  </si>
  <si>
    <t>Открытая (09.10.1993)/24</t>
  </si>
  <si>
    <t>97,10</t>
  </si>
  <si>
    <t>Бебенин Г.</t>
  </si>
  <si>
    <t>Яшин Вадим</t>
  </si>
  <si>
    <t>Мастера 40-49 (22.04.1969)/48</t>
  </si>
  <si>
    <t>94,40</t>
  </si>
  <si>
    <t>Королев Валерий</t>
  </si>
  <si>
    <t>Юниоры (20.09.1996)/21</t>
  </si>
  <si>
    <t>104,90</t>
  </si>
  <si>
    <t>Чекалов Денис</t>
  </si>
  <si>
    <t>Открытая (28.10.1987)/30</t>
  </si>
  <si>
    <t>108,00</t>
  </si>
  <si>
    <t>Тарасов А.</t>
  </si>
  <si>
    <t>Сухов Дмитрий</t>
  </si>
  <si>
    <t>Мастера 40-49 (09.06.1975)/42</t>
  </si>
  <si>
    <t>108,60</t>
  </si>
  <si>
    <t>Абросимов Евгений</t>
  </si>
  <si>
    <t>Мастера 50-59 (29.09.1966)/51</t>
  </si>
  <si>
    <t>106,20</t>
  </si>
  <si>
    <t>Рудницкий Роман</t>
  </si>
  <si>
    <t>Мастера 50-59 (19.03.1961)/57</t>
  </si>
  <si>
    <t>104,70</t>
  </si>
  <si>
    <t>Никишов Александр</t>
  </si>
  <si>
    <t>Юниоры (11.03.1996)/22</t>
  </si>
  <si>
    <t>113,70</t>
  </si>
  <si>
    <t>Дьяконов Дмитрий</t>
  </si>
  <si>
    <t>Открытая (07.07.1988)/29</t>
  </si>
  <si>
    <t>111,40</t>
  </si>
  <si>
    <t>Щербаков Игорь</t>
  </si>
  <si>
    <t>Открытая (16.04.1984)/33</t>
  </si>
  <si>
    <t>111,50</t>
  </si>
  <si>
    <t>Хмелев Александр</t>
  </si>
  <si>
    <t>Мастера 40-49 (19.09.1971)/46</t>
  </si>
  <si>
    <t>119,50</t>
  </si>
  <si>
    <t>Ефремов Алексей</t>
  </si>
  <si>
    <t>Открытая (24.01.1983)/35</t>
  </si>
  <si>
    <t>131,30</t>
  </si>
  <si>
    <t>242,5</t>
  </si>
  <si>
    <t>Сухоруков Захар</t>
  </si>
  <si>
    <t>Открытая (15.11.1988)/29</t>
  </si>
  <si>
    <t>138,00</t>
  </si>
  <si>
    <t xml:space="preserve">Армавир/Краснодарский край </t>
  </si>
  <si>
    <t>146,5750</t>
  </si>
  <si>
    <t>134,0925</t>
  </si>
  <si>
    <t>Чемпионат Евразии WRPF/WEPF
WRPF любители Становая тяга д/к
Волжский/Волгоградская область 31 марта - 1 апреля 2018 года</t>
  </si>
  <si>
    <t>Болучевцева Маргарита</t>
  </si>
  <si>
    <t>Девушки 17-19 (18.02.1999)/19</t>
  </si>
  <si>
    <t>43,95</t>
  </si>
  <si>
    <t>Открытая (28.10.2004)/13</t>
  </si>
  <si>
    <t>Крусс Юлия</t>
  </si>
  <si>
    <t>Открытая (26.11.1988)/29</t>
  </si>
  <si>
    <t>55,30</t>
  </si>
  <si>
    <t>Николенко Олеся</t>
  </si>
  <si>
    <t>Открытая (04.03.1987)/31</t>
  </si>
  <si>
    <t>Полякова Марина</t>
  </si>
  <si>
    <t>Мастера 40-49 (28.10.1976)/41</t>
  </si>
  <si>
    <t>55,10</t>
  </si>
  <si>
    <t xml:space="preserve">Цимлянск/Ростовская область </t>
  </si>
  <si>
    <t>Ходырева Ольга</t>
  </si>
  <si>
    <t>Мастера 60-69 (09.01.1957)/61</t>
  </si>
  <si>
    <t>55,80</t>
  </si>
  <si>
    <t>Стуковина Ирина</t>
  </si>
  <si>
    <t>Открытая (16.05.1984)/33</t>
  </si>
  <si>
    <t>59,90</t>
  </si>
  <si>
    <t>Колодцева Нина</t>
  </si>
  <si>
    <t>Открытая (21.10.1985)/32</t>
  </si>
  <si>
    <t>Черномашенцева Валерия</t>
  </si>
  <si>
    <t>Открытая (07.01.1989)/29</t>
  </si>
  <si>
    <t xml:space="preserve"> Любимов С.</t>
  </si>
  <si>
    <t>Никитин Н.</t>
  </si>
  <si>
    <t>Скалозубов Сергей</t>
  </si>
  <si>
    <t>Юниоры (27.05.1996)/21</t>
  </si>
  <si>
    <t>71,40</t>
  </si>
  <si>
    <t>Устиманов Сергей</t>
  </si>
  <si>
    <t>Юниоры (15.12.1995)/22</t>
  </si>
  <si>
    <t>68,30</t>
  </si>
  <si>
    <t xml:space="preserve">Лепешенков  </t>
  </si>
  <si>
    <t>Костин Сергей</t>
  </si>
  <si>
    <t>Открытая (09.02.1992)/26</t>
  </si>
  <si>
    <t>73,20</t>
  </si>
  <si>
    <t xml:space="preserve">Знаменск/Астраханская область </t>
  </si>
  <si>
    <t>Шамилов Арсен</t>
  </si>
  <si>
    <t>Открытая (20.08.1990)/27</t>
  </si>
  <si>
    <t>Долгов Ю.</t>
  </si>
  <si>
    <t>Дамбинов Александр</t>
  </si>
  <si>
    <t>Мастера 80+ (12.03.1936)/82</t>
  </si>
  <si>
    <t>68,20</t>
  </si>
  <si>
    <t xml:space="preserve">Элиста/Калмыкия </t>
  </si>
  <si>
    <t>Настынов И.</t>
  </si>
  <si>
    <t>Танюшкин Дмитрий</t>
  </si>
  <si>
    <t>Юниоры (01.03.1998)/20</t>
  </si>
  <si>
    <t>81,30</t>
  </si>
  <si>
    <t>Баннов Максим</t>
  </si>
  <si>
    <t>Открытая (22.11.1990)/27</t>
  </si>
  <si>
    <t>82,00</t>
  </si>
  <si>
    <t>Мельханов Евгений</t>
  </si>
  <si>
    <t>Открытая (06.01.1994)/24</t>
  </si>
  <si>
    <t>80,20</t>
  </si>
  <si>
    <t>Попов Дмитрий</t>
  </si>
  <si>
    <t>Открытая (16.04.1992)/25</t>
  </si>
  <si>
    <t>Балычев Сергей</t>
  </si>
  <si>
    <t>Открытая (28.04.1980)/37</t>
  </si>
  <si>
    <t>Лопырев Алексанр</t>
  </si>
  <si>
    <t xml:space="preserve">Лично </t>
  </si>
  <si>
    <t>Харькин Максим</t>
  </si>
  <si>
    <t>Открытая (04.07.1985)/32</t>
  </si>
  <si>
    <t>Рыбальченко Никита</t>
  </si>
  <si>
    <t>Открытая (11.07.1992)/25</t>
  </si>
  <si>
    <t>88,40</t>
  </si>
  <si>
    <t>Медведев Сергей</t>
  </si>
  <si>
    <t>Открытая (29.08.1992)/25</t>
  </si>
  <si>
    <t>93,90</t>
  </si>
  <si>
    <t>Иванюк Андрей</t>
  </si>
  <si>
    <t>Открытая (09.07.1986)/31</t>
  </si>
  <si>
    <t>Нефедов Евгений</t>
  </si>
  <si>
    <t>Мастера 40-49 (11.12.1973)/44</t>
  </si>
  <si>
    <t>267,5</t>
  </si>
  <si>
    <t>Шеховцов Александр</t>
  </si>
  <si>
    <t>Открытая (04.05.1987)/30</t>
  </si>
  <si>
    <t>109,10</t>
  </si>
  <si>
    <t>Филимонов О.</t>
  </si>
  <si>
    <t>147,9870</t>
  </si>
  <si>
    <t>142,8840</t>
  </si>
  <si>
    <t>136,7467</t>
  </si>
  <si>
    <t>176,2200</t>
  </si>
  <si>
    <t>168,1000</t>
  </si>
  <si>
    <t>165,7310</t>
  </si>
  <si>
    <t>Чемпионат Евразии WRPF/WEPF
WRPF любители Становая тяга
Волжский/Волгоградская область, 31 марта - 1 апреля 2018 года</t>
  </si>
  <si>
    <t>Лебедева Вероника</t>
  </si>
  <si>
    <t>Открытая (19.09.1989)/28</t>
  </si>
  <si>
    <t>46,50</t>
  </si>
  <si>
    <t>Брыкалина Валентина</t>
  </si>
  <si>
    <t>Юниорки (12.04.1996)/21</t>
  </si>
  <si>
    <t>Открытая (10.05.1998)/19</t>
  </si>
  <si>
    <t>62,5</t>
  </si>
  <si>
    <t>Ибишов Муса</t>
  </si>
  <si>
    <t>Юноши 14-16 (26.03.2004)/14</t>
  </si>
  <si>
    <t>44,00</t>
  </si>
  <si>
    <t>Алекберов Орхан</t>
  </si>
  <si>
    <t>Открытая (05.12.1983)/34</t>
  </si>
  <si>
    <t>Никитин Сергей</t>
  </si>
  <si>
    <t>Открытая (28.03.1964)/54</t>
  </si>
  <si>
    <t>71,00</t>
  </si>
  <si>
    <t>Петров Сергей</t>
  </si>
  <si>
    <t>Открытая (18.12.1978)/39</t>
  </si>
  <si>
    <t>74,60</t>
  </si>
  <si>
    <t>Руссков Сергей</t>
  </si>
  <si>
    <t>Открытая (07.09.1991)/26</t>
  </si>
  <si>
    <t>72,10</t>
  </si>
  <si>
    <t>Мастера 50-59 (28.03.1964)/54</t>
  </si>
  <si>
    <t>Чурушкин Роман</t>
  </si>
  <si>
    <t>Юноши 17-19 (04.11.1999)/18</t>
  </si>
  <si>
    <t>80,80</t>
  </si>
  <si>
    <t>Киселёв А.</t>
  </si>
  <si>
    <t>Подковырин Павел</t>
  </si>
  <si>
    <t>Открытая (17.10.1993)/24</t>
  </si>
  <si>
    <t>Амельченко А.</t>
  </si>
  <si>
    <t>Лосученко Александр</t>
  </si>
  <si>
    <t>Мастера 60-69 (06.12.1955)/62</t>
  </si>
  <si>
    <t>Назарли Амин</t>
  </si>
  <si>
    <t>Юниоры (29.12.1995)/22</t>
  </si>
  <si>
    <t>94,90</t>
  </si>
  <si>
    <t>272,5</t>
  </si>
  <si>
    <t>Асеев Сергей</t>
  </si>
  <si>
    <t>Открытая (14.06.1980)/37</t>
  </si>
  <si>
    <t>Ульянов Максим</t>
  </si>
  <si>
    <t>Открытая (01.02.1986)/32</t>
  </si>
  <si>
    <t>96,00</t>
  </si>
  <si>
    <t>Макошенко Максим</t>
  </si>
  <si>
    <t>Открытая (29.10.1980)/37</t>
  </si>
  <si>
    <t>98,80</t>
  </si>
  <si>
    <t>Калинин Максим</t>
  </si>
  <si>
    <t>Открытая (01.06.1993)/24</t>
  </si>
  <si>
    <t>102,60</t>
  </si>
  <si>
    <t>305,0</t>
  </si>
  <si>
    <t>Киселев Алексей</t>
  </si>
  <si>
    <t>Открытая (27.04.1974)/43</t>
  </si>
  <si>
    <t>Тараканов Артем</t>
  </si>
  <si>
    <t>Открытая (03.07.1992)/25</t>
  </si>
  <si>
    <t>106,60</t>
  </si>
  <si>
    <t>Амельченко Александр</t>
  </si>
  <si>
    <t>Открытая (19.05.1991)/26</t>
  </si>
  <si>
    <t>122,00</t>
  </si>
  <si>
    <t>Никифоров М.</t>
  </si>
  <si>
    <t>Егоров Дмитрий</t>
  </si>
  <si>
    <t>Открытая (05.10.1982)/35</t>
  </si>
  <si>
    <t>126,50</t>
  </si>
  <si>
    <t>Абсолютный зачет</t>
  </si>
  <si>
    <t>191,8880</t>
  </si>
  <si>
    <t>185,3500</t>
  </si>
  <si>
    <t>180,3270</t>
  </si>
  <si>
    <t>Чемпионат Евразии WRPF/WEPF
WEPF любители Становая тяга
Волжский/Волгоградская область, 31 марта - 1 апреля 2018 года</t>
  </si>
  <si>
    <t>Юрьев Сергей</t>
  </si>
  <si>
    <t>94,00</t>
  </si>
  <si>
    <t>Чемпионат Евразии WRPF/WEPF
WEPF любители Жим штанги лежа д/к мн. слой
Волжский/Волгоградская область, 31 марта - 1 апреля 2018 года</t>
  </si>
  <si>
    <t>Зенина Ирина</t>
  </si>
  <si>
    <t>Девушки 14-16 (19.05.2001)/16</t>
  </si>
  <si>
    <t>51,80</t>
  </si>
  <si>
    <t xml:space="preserve">Гузев  </t>
  </si>
  <si>
    <t>Погорелов Даниил</t>
  </si>
  <si>
    <t>Юноши 14-16 (27.01.2002)/16</t>
  </si>
  <si>
    <t xml:space="preserve">Гузев </t>
  </si>
  <si>
    <t>Решетов Николай</t>
  </si>
  <si>
    <t>Мастера 50-59 (23.02.1959)/59</t>
  </si>
  <si>
    <t>89,60</t>
  </si>
  <si>
    <t>Gloss</t>
  </si>
  <si>
    <t xml:space="preserve">Gloss </t>
  </si>
  <si>
    <t>Гонжал Дмитрий</t>
  </si>
  <si>
    <t>Открытая (18.04.1986)/31</t>
  </si>
  <si>
    <t>99,30</t>
  </si>
  <si>
    <t>Чемпионат Евразии
СПР Народный жим (1 вес)
Волжский/Волгоградская область, 31 марта - 1 апреля 2018 года</t>
  </si>
  <si>
    <t>Жим мн. повт.</t>
  </si>
  <si>
    <t>Тоннаж</t>
  </si>
  <si>
    <t>Вес</t>
  </si>
  <si>
    <t>Повторы</t>
  </si>
  <si>
    <t>Юноши 13 - 19 (15.04.1998)/19</t>
  </si>
  <si>
    <t>76,70</t>
  </si>
  <si>
    <t>Дьяченко Данил</t>
  </si>
  <si>
    <t>Юниоры 20 - 23 (08.10.1997)/20</t>
  </si>
  <si>
    <t>79,60</t>
  </si>
  <si>
    <t xml:space="preserve">Ахтубинск/Астраханская область </t>
  </si>
  <si>
    <t>Сергеев Станислав</t>
  </si>
  <si>
    <t>Открытая (22.03.1994)/24</t>
  </si>
  <si>
    <t>76,60</t>
  </si>
  <si>
    <t>Глазырин Николай</t>
  </si>
  <si>
    <t>Открытая (02.09.1987)/30</t>
  </si>
  <si>
    <t>84,10</t>
  </si>
  <si>
    <t>Мастера 40 - 49 (23.12.1970)/47</t>
  </si>
  <si>
    <t>Мастера 50 - 59 (23.07.1965)/52</t>
  </si>
  <si>
    <t>Шамин Юра</t>
  </si>
  <si>
    <t>Мастера 50 - 59 (25.01.1959)/59</t>
  </si>
  <si>
    <t>84,55</t>
  </si>
  <si>
    <t>Костюк Виктор</t>
  </si>
  <si>
    <t>Открытая (03.02.1990)/28</t>
  </si>
  <si>
    <t>Провоторов Александр</t>
  </si>
  <si>
    <t>Открытая (10.04.1979)/38</t>
  </si>
  <si>
    <t>90,80</t>
  </si>
  <si>
    <t>Мастера 40 - 49 (09.06.1975)/42</t>
  </si>
  <si>
    <t>Головачев Дмитрий</t>
  </si>
  <si>
    <t>Открытая (30.04.1988)/29</t>
  </si>
  <si>
    <t>111,90</t>
  </si>
  <si>
    <t>Чемпионат Евразии
СПР Народный жим (1 вес) допинг контроль
Волжский/Волгоградская область, 31 марта - 1 апреля 2018 года</t>
  </si>
  <si>
    <t>Юниоры 20 - 23 (19.10.1997)/20</t>
  </si>
  <si>
    <t>59,65</t>
  </si>
  <si>
    <t>Открытая (19.10.1997)/20</t>
  </si>
  <si>
    <t>Мягков Михаил</t>
  </si>
  <si>
    <t>Открытая (21.06.1993)/24</t>
  </si>
  <si>
    <t>61,30</t>
  </si>
  <si>
    <t xml:space="preserve">Решетов Н. </t>
  </si>
  <si>
    <t>Урываев Данил</t>
  </si>
  <si>
    <t>Открытая (02.05.1992)/25</t>
  </si>
  <si>
    <t>77,00</t>
  </si>
  <si>
    <t>Ничипорук Андрей</t>
  </si>
  <si>
    <t>Открытая (11.04.1991)/26</t>
  </si>
  <si>
    <t>80,70</t>
  </si>
  <si>
    <t>Рогачев Юрий</t>
  </si>
  <si>
    <t>Мазиев Алексей</t>
  </si>
  <si>
    <t>Юниоры 20 - 23 (01.12.1995)/22</t>
  </si>
  <si>
    <t xml:space="preserve">Семикаракорск/Ростовская область </t>
  </si>
  <si>
    <t>Юниоры 20 - 23 (13.03.1995)/23</t>
  </si>
  <si>
    <t>Михайлов Сергей</t>
  </si>
  <si>
    <t>Открытая (01.12.1978)/39</t>
  </si>
  <si>
    <t>89,15</t>
  </si>
  <si>
    <t>97,95</t>
  </si>
  <si>
    <t xml:space="preserve">Долгов А.  </t>
  </si>
  <si>
    <t>3255,0</t>
  </si>
  <si>
    <t>2198,7524</t>
  </si>
  <si>
    <t>2687,5</t>
  </si>
  <si>
    <t>2192,7313</t>
  </si>
  <si>
    <t>3300,0</t>
  </si>
  <si>
    <t>1935,4500</t>
  </si>
  <si>
    <t>Чемпионат Евразии
СПР Народный жим (1/2 вес)
Волжский/Волгоградская область, 31 марта - 1 апреля 2018 года</t>
  </si>
  <si>
    <t>Кобышев Георгий</t>
  </si>
  <si>
    <t>Юноши 13 - 19 (05.07.2002)/15</t>
  </si>
  <si>
    <t>Чупряков Алексей</t>
  </si>
  <si>
    <t>Юноши 13 - 19 (10.08.1999)/18</t>
  </si>
  <si>
    <t>78,70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</si>
</sst>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7E4B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64" fontId="4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0" fillId="0" borderId="23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zoomScale="78" zoomScaleNormal="78" zoomScalePageLayoutView="0" workbookViewId="0" topLeftCell="A1">
      <selection activeCell="F15" sqref="F15"/>
    </sheetView>
  </sheetViews>
  <sheetFormatPr defaultColWidth="9.125" defaultRowHeight="12.75"/>
  <cols>
    <col min="1" max="1" width="7.375" style="6" bestFit="1" customWidth="1"/>
    <col min="2" max="2" width="24.625" style="5" customWidth="1"/>
    <col min="3" max="3" width="30.12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6.125" style="5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9.00390625" style="6" customWidth="1"/>
    <col min="21" max="21" width="10.375" style="6" customWidth="1"/>
    <col min="22" max="22" width="30.125" style="5" bestFit="1" customWidth="1"/>
    <col min="23" max="16384" width="9.125" style="3" customWidth="1"/>
  </cols>
  <sheetData>
    <row r="1" spans="1:22" s="2" customFormat="1" ht="28.5" customHeight="1">
      <c r="A1" s="55" t="s">
        <v>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/>
      <c r="J3" s="47"/>
      <c r="K3" s="47"/>
      <c r="L3" s="47" t="s">
        <v>9</v>
      </c>
      <c r="M3" s="47"/>
      <c r="N3" s="47"/>
      <c r="O3" s="47"/>
      <c r="P3" s="47" t="s">
        <v>10</v>
      </c>
      <c r="Q3" s="47"/>
      <c r="R3" s="47"/>
      <c r="S3" s="47"/>
      <c r="T3" s="47" t="s">
        <v>11</v>
      </c>
      <c r="U3" s="47" t="s">
        <v>12</v>
      </c>
      <c r="V3" s="51" t="s">
        <v>13</v>
      </c>
    </row>
    <row r="4" spans="1:22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4">
        <v>1</v>
      </c>
      <c r="Q4" s="44">
        <v>2</v>
      </c>
      <c r="R4" s="44">
        <v>3</v>
      </c>
      <c r="S4" s="44" t="s">
        <v>14</v>
      </c>
      <c r="T4" s="48"/>
      <c r="U4" s="48"/>
      <c r="V4" s="52"/>
    </row>
    <row r="5" spans="1:21" ht="15">
      <c r="A5" s="53" t="s">
        <v>15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2" ht="12.75">
      <c r="A6" s="10" t="s">
        <v>16</v>
      </c>
      <c r="B6" s="7" t="s">
        <v>17</v>
      </c>
      <c r="C6" s="7" t="s">
        <v>18</v>
      </c>
      <c r="D6" s="7" t="s">
        <v>19</v>
      </c>
      <c r="E6" s="7" t="str">
        <f>"1,4936"</f>
        <v>1,4936</v>
      </c>
      <c r="F6" s="7" t="s">
        <v>20</v>
      </c>
      <c r="G6" s="7" t="s">
        <v>21</v>
      </c>
      <c r="H6" s="9" t="s">
        <v>22</v>
      </c>
      <c r="I6" s="9" t="s">
        <v>23</v>
      </c>
      <c r="J6" s="8" t="s">
        <v>24</v>
      </c>
      <c r="K6" s="10"/>
      <c r="L6" s="9" t="s">
        <v>25</v>
      </c>
      <c r="M6" s="9" t="s">
        <v>26</v>
      </c>
      <c r="N6" s="9" t="s">
        <v>27</v>
      </c>
      <c r="O6" s="10"/>
      <c r="P6" s="9" t="s">
        <v>28</v>
      </c>
      <c r="Q6" s="9" t="s">
        <v>29</v>
      </c>
      <c r="R6" s="8" t="s">
        <v>30</v>
      </c>
      <c r="S6" s="10"/>
      <c r="T6" s="10" t="str">
        <f>"245,0"</f>
        <v>245,0</v>
      </c>
      <c r="U6" s="10" t="str">
        <f>"365,9320"</f>
        <v>365,9320</v>
      </c>
      <c r="V6" s="7" t="s">
        <v>31</v>
      </c>
    </row>
    <row r="7" ht="12.75">
      <c r="B7" s="5" t="s">
        <v>32</v>
      </c>
    </row>
    <row r="8" spans="1:21" ht="15">
      <c r="A8" s="45" t="s">
        <v>33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2" ht="12.75">
      <c r="A9" s="10" t="s">
        <v>16</v>
      </c>
      <c r="B9" s="7" t="s">
        <v>34</v>
      </c>
      <c r="C9" s="7" t="s">
        <v>35</v>
      </c>
      <c r="D9" s="7" t="s">
        <v>36</v>
      </c>
      <c r="E9" s="7" t="str">
        <f>"1,2485"</f>
        <v>1,2485</v>
      </c>
      <c r="F9" s="7" t="s">
        <v>20</v>
      </c>
      <c r="G9" s="7" t="s">
        <v>37</v>
      </c>
      <c r="H9" s="9" t="s">
        <v>38</v>
      </c>
      <c r="I9" s="8" t="s">
        <v>23</v>
      </c>
      <c r="J9" s="9" t="s">
        <v>39</v>
      </c>
      <c r="K9" s="10"/>
      <c r="L9" s="9" t="s">
        <v>40</v>
      </c>
      <c r="M9" s="8" t="s">
        <v>26</v>
      </c>
      <c r="N9" s="8" t="s">
        <v>26</v>
      </c>
      <c r="O9" s="10"/>
      <c r="P9" s="9" t="s">
        <v>41</v>
      </c>
      <c r="Q9" s="9" t="s">
        <v>42</v>
      </c>
      <c r="R9" s="9" t="s">
        <v>43</v>
      </c>
      <c r="S9" s="10"/>
      <c r="T9" s="10" t="str">
        <f>"222,5"</f>
        <v>222,5</v>
      </c>
      <c r="U9" s="10" t="str">
        <f>"277,7912"</f>
        <v>277,7912</v>
      </c>
      <c r="V9" s="7" t="s">
        <v>31</v>
      </c>
    </row>
    <row r="10" ht="12.75">
      <c r="B10" s="5" t="s">
        <v>32</v>
      </c>
    </row>
    <row r="11" spans="1:21" ht="15">
      <c r="A11" s="45" t="s">
        <v>44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2" ht="12.75">
      <c r="A12" s="14" t="s">
        <v>16</v>
      </c>
      <c r="B12" s="11" t="s">
        <v>45</v>
      </c>
      <c r="C12" s="11" t="s">
        <v>46</v>
      </c>
      <c r="D12" s="11" t="s">
        <v>47</v>
      </c>
      <c r="E12" s="11" t="str">
        <f>"1,0491"</f>
        <v>1,0491</v>
      </c>
      <c r="F12" s="11" t="s">
        <v>20</v>
      </c>
      <c r="G12" s="11" t="s">
        <v>37</v>
      </c>
      <c r="H12" s="13" t="s">
        <v>48</v>
      </c>
      <c r="I12" s="13" t="s">
        <v>49</v>
      </c>
      <c r="J12" s="13" t="s">
        <v>50</v>
      </c>
      <c r="K12" s="14"/>
      <c r="L12" s="13" t="s">
        <v>27</v>
      </c>
      <c r="M12" s="13" t="s">
        <v>51</v>
      </c>
      <c r="N12" s="13" t="s">
        <v>52</v>
      </c>
      <c r="O12" s="14"/>
      <c r="P12" s="13" t="s">
        <v>53</v>
      </c>
      <c r="Q12" s="13" t="s">
        <v>54</v>
      </c>
      <c r="R12" s="13" t="s">
        <v>55</v>
      </c>
      <c r="S12" s="14"/>
      <c r="T12" s="14" t="str">
        <f>"325,0"</f>
        <v>325,0</v>
      </c>
      <c r="U12" s="14" t="str">
        <f>"340,9575"</f>
        <v>340,9575</v>
      </c>
      <c r="V12" s="11" t="s">
        <v>31</v>
      </c>
    </row>
    <row r="13" spans="1:22" ht="12.75">
      <c r="A13" s="21" t="s">
        <v>56</v>
      </c>
      <c r="B13" s="19" t="s">
        <v>57</v>
      </c>
      <c r="C13" s="19" t="s">
        <v>58</v>
      </c>
      <c r="D13" s="19" t="s">
        <v>59</v>
      </c>
      <c r="E13" s="19" t="str">
        <f>"1,0351"</f>
        <v>1,0351</v>
      </c>
      <c r="F13" s="19" t="s">
        <v>20</v>
      </c>
      <c r="G13" s="19" t="s">
        <v>21</v>
      </c>
      <c r="H13" s="20" t="s">
        <v>42</v>
      </c>
      <c r="I13" s="20" t="s">
        <v>60</v>
      </c>
      <c r="J13" s="20" t="s">
        <v>28</v>
      </c>
      <c r="K13" s="21"/>
      <c r="L13" s="20" t="s">
        <v>27</v>
      </c>
      <c r="M13" s="20" t="s">
        <v>51</v>
      </c>
      <c r="N13" s="22" t="s">
        <v>52</v>
      </c>
      <c r="O13" s="21"/>
      <c r="P13" s="20" t="s">
        <v>61</v>
      </c>
      <c r="Q13" s="20" t="s">
        <v>62</v>
      </c>
      <c r="R13" s="20" t="s">
        <v>63</v>
      </c>
      <c r="S13" s="21"/>
      <c r="T13" s="21" t="str">
        <f>"307,5"</f>
        <v>307,5</v>
      </c>
      <c r="U13" s="21" t="str">
        <f>"318,2932"</f>
        <v>318,2932</v>
      </c>
      <c r="V13" s="19" t="s">
        <v>64</v>
      </c>
    </row>
    <row r="14" spans="1:22" ht="12.75">
      <c r="A14" s="21" t="s">
        <v>65</v>
      </c>
      <c r="B14" s="19" t="s">
        <v>66</v>
      </c>
      <c r="C14" s="19" t="s">
        <v>67</v>
      </c>
      <c r="D14" s="19" t="s">
        <v>68</v>
      </c>
      <c r="E14" s="19" t="str">
        <f>"1,0250"</f>
        <v>1,0250</v>
      </c>
      <c r="F14" s="19" t="s">
        <v>69</v>
      </c>
      <c r="G14" s="19" t="s">
        <v>21</v>
      </c>
      <c r="H14" s="20" t="s">
        <v>70</v>
      </c>
      <c r="I14" s="20" t="s">
        <v>42</v>
      </c>
      <c r="J14" s="22" t="s">
        <v>71</v>
      </c>
      <c r="K14" s="21"/>
      <c r="L14" s="20" t="s">
        <v>25</v>
      </c>
      <c r="M14" s="22" t="s">
        <v>72</v>
      </c>
      <c r="N14" s="20" t="s">
        <v>72</v>
      </c>
      <c r="O14" s="21"/>
      <c r="P14" s="20" t="s">
        <v>49</v>
      </c>
      <c r="Q14" s="20" t="s">
        <v>50</v>
      </c>
      <c r="R14" s="20" t="s">
        <v>73</v>
      </c>
      <c r="S14" s="21"/>
      <c r="T14" s="21" t="str">
        <f>"275,0"</f>
        <v>275,0</v>
      </c>
      <c r="U14" s="21" t="str">
        <f>"281,8750"</f>
        <v>281,8750</v>
      </c>
      <c r="V14" s="19" t="s">
        <v>64</v>
      </c>
    </row>
    <row r="15" spans="1:22" ht="12.75">
      <c r="A15" s="17" t="s">
        <v>74</v>
      </c>
      <c r="B15" s="15" t="s">
        <v>75</v>
      </c>
      <c r="C15" s="15" t="s">
        <v>76</v>
      </c>
      <c r="D15" s="15" t="s">
        <v>59</v>
      </c>
      <c r="E15" s="15" t="str">
        <f>"1,0351"</f>
        <v>1,0351</v>
      </c>
      <c r="F15" s="15" t="s">
        <v>20</v>
      </c>
      <c r="G15" s="15" t="s">
        <v>37</v>
      </c>
      <c r="H15" s="18" t="s">
        <v>43</v>
      </c>
      <c r="I15" s="16" t="s">
        <v>77</v>
      </c>
      <c r="J15" s="18" t="s">
        <v>77</v>
      </c>
      <c r="K15" s="17"/>
      <c r="L15" s="18" t="s">
        <v>51</v>
      </c>
      <c r="M15" s="16" t="s">
        <v>78</v>
      </c>
      <c r="N15" s="16" t="s">
        <v>78</v>
      </c>
      <c r="O15" s="17"/>
      <c r="P15" s="18" t="s">
        <v>60</v>
      </c>
      <c r="Q15" s="18" t="s">
        <v>48</v>
      </c>
      <c r="R15" s="16" t="s">
        <v>49</v>
      </c>
      <c r="S15" s="17"/>
      <c r="T15" s="17" t="str">
        <f>"272,5"</f>
        <v>272,5</v>
      </c>
      <c r="U15" s="17" t="str">
        <f>"282,0647"</f>
        <v>282,0647</v>
      </c>
      <c r="V15" s="15" t="s">
        <v>79</v>
      </c>
    </row>
    <row r="16" ht="12.75">
      <c r="B16" s="5" t="s">
        <v>32</v>
      </c>
    </row>
    <row r="17" spans="1:21" ht="15">
      <c r="A17" s="45" t="s">
        <v>80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2" ht="12.75">
      <c r="A18" s="10" t="s">
        <v>16</v>
      </c>
      <c r="B18" s="7" t="s">
        <v>81</v>
      </c>
      <c r="C18" s="7" t="s">
        <v>82</v>
      </c>
      <c r="D18" s="7" t="s">
        <v>83</v>
      </c>
      <c r="E18" s="7" t="str">
        <f>"0,8859"</f>
        <v>0,8859</v>
      </c>
      <c r="F18" s="7" t="s">
        <v>20</v>
      </c>
      <c r="G18" s="7" t="s">
        <v>21</v>
      </c>
      <c r="H18" s="9" t="s">
        <v>84</v>
      </c>
      <c r="I18" s="9" t="s">
        <v>24</v>
      </c>
      <c r="J18" s="9" t="s">
        <v>70</v>
      </c>
      <c r="K18" s="10"/>
      <c r="L18" s="9" t="s">
        <v>27</v>
      </c>
      <c r="M18" s="9" t="s">
        <v>78</v>
      </c>
      <c r="N18" s="9" t="s">
        <v>52</v>
      </c>
      <c r="O18" s="10"/>
      <c r="P18" s="9" t="s">
        <v>43</v>
      </c>
      <c r="Q18" s="9" t="s">
        <v>48</v>
      </c>
      <c r="R18" s="9" t="s">
        <v>49</v>
      </c>
      <c r="S18" s="10"/>
      <c r="T18" s="10" t="str">
        <f>"260,0"</f>
        <v>260,0</v>
      </c>
      <c r="U18" s="10" t="str">
        <f>"230,3340"</f>
        <v>230,3340</v>
      </c>
      <c r="V18" s="7" t="s">
        <v>64</v>
      </c>
    </row>
    <row r="19" ht="12.75">
      <c r="B19" s="5" t="s">
        <v>32</v>
      </c>
    </row>
    <row r="20" spans="1:21" ht="15">
      <c r="A20" s="45" t="s">
        <v>44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2" ht="12.75">
      <c r="A21" s="10" t="s">
        <v>16</v>
      </c>
      <c r="B21" s="7" t="s">
        <v>85</v>
      </c>
      <c r="C21" s="7" t="s">
        <v>86</v>
      </c>
      <c r="D21" s="7" t="s">
        <v>59</v>
      </c>
      <c r="E21" s="7" t="str">
        <f>"0,7832"</f>
        <v>0,7832</v>
      </c>
      <c r="F21" s="7" t="s">
        <v>87</v>
      </c>
      <c r="G21" s="7" t="s">
        <v>37</v>
      </c>
      <c r="H21" s="9" t="s">
        <v>62</v>
      </c>
      <c r="I21" s="9" t="s">
        <v>88</v>
      </c>
      <c r="J21" s="10"/>
      <c r="K21" s="10"/>
      <c r="L21" s="9" t="s">
        <v>89</v>
      </c>
      <c r="M21" s="9" t="s">
        <v>60</v>
      </c>
      <c r="N21" s="10"/>
      <c r="O21" s="10"/>
      <c r="P21" s="9" t="s">
        <v>90</v>
      </c>
      <c r="Q21" s="8" t="s">
        <v>91</v>
      </c>
      <c r="R21" s="9" t="s">
        <v>91</v>
      </c>
      <c r="S21" s="10"/>
      <c r="T21" s="10" t="str">
        <f>"475,0"</f>
        <v>475,0</v>
      </c>
      <c r="U21" s="10" t="str">
        <f>"372,0200"</f>
        <v>372,0200</v>
      </c>
      <c r="V21" s="7" t="s">
        <v>92</v>
      </c>
    </row>
    <row r="22" ht="12.75">
      <c r="B22" s="5" t="s">
        <v>32</v>
      </c>
    </row>
    <row r="23" spans="1:21" ht="15">
      <c r="A23" s="45" t="s">
        <v>93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2" ht="12.75">
      <c r="A24" s="14" t="s">
        <v>16</v>
      </c>
      <c r="B24" s="11" t="s">
        <v>94</v>
      </c>
      <c r="C24" s="11" t="s">
        <v>95</v>
      </c>
      <c r="D24" s="11" t="s">
        <v>96</v>
      </c>
      <c r="E24" s="11" t="str">
        <f>"0,7390"</f>
        <v>0,7390</v>
      </c>
      <c r="F24" s="11" t="s">
        <v>20</v>
      </c>
      <c r="G24" s="33" t="s">
        <v>97</v>
      </c>
      <c r="H24" s="13" t="s">
        <v>98</v>
      </c>
      <c r="I24" s="12" t="s">
        <v>99</v>
      </c>
      <c r="J24" s="12" t="s">
        <v>99</v>
      </c>
      <c r="K24" s="14"/>
      <c r="L24" s="13" t="s">
        <v>60</v>
      </c>
      <c r="M24" s="13" t="s">
        <v>28</v>
      </c>
      <c r="N24" s="13" t="s">
        <v>49</v>
      </c>
      <c r="O24" s="14"/>
      <c r="P24" s="13" t="s">
        <v>90</v>
      </c>
      <c r="Q24" s="13" t="s">
        <v>100</v>
      </c>
      <c r="R24" s="14"/>
      <c r="S24" s="14"/>
      <c r="T24" s="14" t="str">
        <f>"505,0"</f>
        <v>505,0</v>
      </c>
      <c r="U24" s="14" t="str">
        <f>"373,1950"</f>
        <v>373,1950</v>
      </c>
      <c r="V24" s="11" t="s">
        <v>31</v>
      </c>
    </row>
    <row r="25" spans="1:22" ht="12.75">
      <c r="A25" s="17" t="s">
        <v>56</v>
      </c>
      <c r="B25" s="15" t="s">
        <v>101</v>
      </c>
      <c r="C25" s="15" t="s">
        <v>102</v>
      </c>
      <c r="D25" s="15" t="s">
        <v>103</v>
      </c>
      <c r="E25" s="15" t="str">
        <f>"0,7406"</f>
        <v>0,7406</v>
      </c>
      <c r="F25" s="15" t="s">
        <v>20</v>
      </c>
      <c r="G25" s="15" t="s">
        <v>37</v>
      </c>
      <c r="H25" s="18" t="s">
        <v>62</v>
      </c>
      <c r="I25" s="18" t="s">
        <v>55</v>
      </c>
      <c r="J25" s="18" t="s">
        <v>104</v>
      </c>
      <c r="K25" s="17"/>
      <c r="L25" s="18" t="s">
        <v>89</v>
      </c>
      <c r="M25" s="18" t="s">
        <v>60</v>
      </c>
      <c r="N25" s="16" t="s">
        <v>48</v>
      </c>
      <c r="O25" s="17"/>
      <c r="P25" s="18" t="s">
        <v>105</v>
      </c>
      <c r="Q25" s="18" t="s">
        <v>98</v>
      </c>
      <c r="R25" s="16" t="s">
        <v>106</v>
      </c>
      <c r="S25" s="17"/>
      <c r="T25" s="17" t="str">
        <f>"430,0"</f>
        <v>430,0</v>
      </c>
      <c r="U25" s="17" t="str">
        <f>"318,4580"</f>
        <v>318,4580</v>
      </c>
      <c r="V25" s="15" t="s">
        <v>31</v>
      </c>
    </row>
    <row r="26" ht="12.75">
      <c r="B26" s="5" t="s">
        <v>32</v>
      </c>
    </row>
    <row r="27" spans="1:21" ht="15">
      <c r="A27" s="45" t="s">
        <v>107</v>
      </c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2" ht="12.75">
      <c r="A28" s="14" t="s">
        <v>16</v>
      </c>
      <c r="B28" s="11" t="s">
        <v>108</v>
      </c>
      <c r="C28" s="11" t="s">
        <v>109</v>
      </c>
      <c r="D28" s="11" t="s">
        <v>110</v>
      </c>
      <c r="E28" s="11" t="str">
        <f>"0,7074"</f>
        <v>0,7074</v>
      </c>
      <c r="F28" s="11" t="s">
        <v>20</v>
      </c>
      <c r="G28" s="11" t="s">
        <v>21</v>
      </c>
      <c r="H28" s="12" t="s">
        <v>39</v>
      </c>
      <c r="I28" s="12" t="s">
        <v>39</v>
      </c>
      <c r="J28" s="13" t="s">
        <v>39</v>
      </c>
      <c r="K28" s="14"/>
      <c r="L28" s="13" t="s">
        <v>111</v>
      </c>
      <c r="M28" s="13" t="s">
        <v>25</v>
      </c>
      <c r="N28" s="12" t="s">
        <v>26</v>
      </c>
      <c r="O28" s="14"/>
      <c r="P28" s="12" t="s">
        <v>48</v>
      </c>
      <c r="Q28" s="13" t="s">
        <v>49</v>
      </c>
      <c r="R28" s="13" t="s">
        <v>61</v>
      </c>
      <c r="S28" s="14"/>
      <c r="T28" s="14" t="str">
        <f>"250,0"</f>
        <v>250,0</v>
      </c>
      <c r="U28" s="14" t="str">
        <f>"176,8500"</f>
        <v>176,8500</v>
      </c>
      <c r="V28" s="11" t="s">
        <v>112</v>
      </c>
    </row>
    <row r="29" spans="1:22" ht="12.75">
      <c r="A29" s="17" t="s">
        <v>16</v>
      </c>
      <c r="B29" s="15" t="s">
        <v>113</v>
      </c>
      <c r="C29" s="15" t="s">
        <v>114</v>
      </c>
      <c r="D29" s="15" t="s">
        <v>115</v>
      </c>
      <c r="E29" s="15" t="str">
        <f>"0,6769"</f>
        <v>0,6769</v>
      </c>
      <c r="F29" s="15" t="s">
        <v>20</v>
      </c>
      <c r="G29" s="15" t="s">
        <v>37</v>
      </c>
      <c r="H29" s="18" t="s">
        <v>63</v>
      </c>
      <c r="I29" s="18" t="s">
        <v>104</v>
      </c>
      <c r="J29" s="18" t="s">
        <v>116</v>
      </c>
      <c r="K29" s="17"/>
      <c r="L29" s="18" t="s">
        <v>39</v>
      </c>
      <c r="M29" s="16" t="s">
        <v>117</v>
      </c>
      <c r="N29" s="16" t="s">
        <v>117</v>
      </c>
      <c r="O29" s="17"/>
      <c r="P29" s="18" t="s">
        <v>106</v>
      </c>
      <c r="Q29" s="18" t="s">
        <v>118</v>
      </c>
      <c r="R29" s="16" t="s">
        <v>90</v>
      </c>
      <c r="S29" s="17"/>
      <c r="T29" s="17" t="str">
        <f>"437,5"</f>
        <v>437,5</v>
      </c>
      <c r="U29" s="17" t="str">
        <f>"296,1438"</f>
        <v>296,1438</v>
      </c>
      <c r="V29" s="15" t="s">
        <v>92</v>
      </c>
    </row>
    <row r="30" ht="12.75">
      <c r="B30" s="5" t="s">
        <v>32</v>
      </c>
    </row>
    <row r="31" spans="1:21" ht="15">
      <c r="A31" s="45" t="s">
        <v>119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 ht="12.75">
      <c r="A32" s="14" t="s">
        <v>16</v>
      </c>
      <c r="B32" s="11" t="s">
        <v>120</v>
      </c>
      <c r="C32" s="11" t="s">
        <v>121</v>
      </c>
      <c r="D32" s="11" t="s">
        <v>122</v>
      </c>
      <c r="E32" s="11" t="str">
        <f>"0,6601"</f>
        <v>0,6601</v>
      </c>
      <c r="F32" s="11" t="s">
        <v>20</v>
      </c>
      <c r="G32" s="11" t="s">
        <v>37</v>
      </c>
      <c r="H32" s="13" t="s">
        <v>123</v>
      </c>
      <c r="I32" s="13" t="s">
        <v>124</v>
      </c>
      <c r="J32" s="13" t="s">
        <v>98</v>
      </c>
      <c r="K32" s="14"/>
      <c r="L32" s="13" t="s">
        <v>48</v>
      </c>
      <c r="M32" s="12" t="s">
        <v>49</v>
      </c>
      <c r="N32" s="13" t="s">
        <v>49</v>
      </c>
      <c r="O32" s="14"/>
      <c r="P32" s="13" t="s">
        <v>123</v>
      </c>
      <c r="Q32" s="13" t="s">
        <v>124</v>
      </c>
      <c r="R32" s="13" t="s">
        <v>125</v>
      </c>
      <c r="S32" s="14"/>
      <c r="T32" s="14" t="str">
        <f>"470,0"</f>
        <v>470,0</v>
      </c>
      <c r="U32" s="14" t="str">
        <f>"310,2470"</f>
        <v>310,2470</v>
      </c>
      <c r="V32" s="11" t="s">
        <v>31</v>
      </c>
    </row>
    <row r="33" spans="1:22" ht="12.75">
      <c r="A33" s="21" t="s">
        <v>16</v>
      </c>
      <c r="B33" s="19" t="s">
        <v>126</v>
      </c>
      <c r="C33" s="19" t="s">
        <v>127</v>
      </c>
      <c r="D33" s="19" t="s">
        <v>128</v>
      </c>
      <c r="E33" s="19" t="str">
        <f>"0,6463"</f>
        <v>0,6463</v>
      </c>
      <c r="F33" s="19" t="s">
        <v>20</v>
      </c>
      <c r="G33" s="19" t="s">
        <v>129</v>
      </c>
      <c r="H33" s="20" t="s">
        <v>125</v>
      </c>
      <c r="I33" s="20" t="s">
        <v>130</v>
      </c>
      <c r="J33" s="20" t="s">
        <v>131</v>
      </c>
      <c r="K33" s="21"/>
      <c r="L33" s="20" t="s">
        <v>88</v>
      </c>
      <c r="M33" s="20" t="s">
        <v>132</v>
      </c>
      <c r="N33" s="22" t="s">
        <v>123</v>
      </c>
      <c r="O33" s="21"/>
      <c r="P33" s="20" t="s">
        <v>118</v>
      </c>
      <c r="Q33" s="20" t="s">
        <v>100</v>
      </c>
      <c r="R33" s="20" t="s">
        <v>133</v>
      </c>
      <c r="S33" s="21"/>
      <c r="T33" s="21" t="str">
        <f>"570,0"</f>
        <v>570,0</v>
      </c>
      <c r="U33" s="21" t="str">
        <f>"368,3910"</f>
        <v>368,3910</v>
      </c>
      <c r="V33" s="19" t="s">
        <v>134</v>
      </c>
    </row>
    <row r="34" spans="1:22" ht="12.75">
      <c r="A34" s="21" t="s">
        <v>56</v>
      </c>
      <c r="B34" s="19" t="s">
        <v>135</v>
      </c>
      <c r="C34" s="19" t="s">
        <v>136</v>
      </c>
      <c r="D34" s="19" t="s">
        <v>137</v>
      </c>
      <c r="E34" s="19" t="str">
        <f>"0,6402"</f>
        <v>0,6402</v>
      </c>
      <c r="F34" s="19" t="s">
        <v>20</v>
      </c>
      <c r="G34" s="19" t="s">
        <v>138</v>
      </c>
      <c r="H34" s="22" t="s">
        <v>63</v>
      </c>
      <c r="I34" s="20" t="s">
        <v>63</v>
      </c>
      <c r="J34" s="22" t="s">
        <v>104</v>
      </c>
      <c r="K34" s="21"/>
      <c r="L34" s="20" t="s">
        <v>62</v>
      </c>
      <c r="M34" s="22" t="s">
        <v>63</v>
      </c>
      <c r="N34" s="22" t="s">
        <v>63</v>
      </c>
      <c r="O34" s="21"/>
      <c r="P34" s="20" t="s">
        <v>125</v>
      </c>
      <c r="Q34" s="20" t="s">
        <v>130</v>
      </c>
      <c r="R34" s="22" t="s">
        <v>118</v>
      </c>
      <c r="S34" s="21"/>
      <c r="T34" s="21" t="str">
        <f>"465,0"</f>
        <v>465,0</v>
      </c>
      <c r="U34" s="21" t="str">
        <f>"297,6930"</f>
        <v>297,6930</v>
      </c>
      <c r="V34" s="19" t="s">
        <v>31</v>
      </c>
    </row>
    <row r="35" spans="1:22" ht="12.75">
      <c r="A35" s="17" t="s">
        <v>139</v>
      </c>
      <c r="B35" s="15" t="s">
        <v>140</v>
      </c>
      <c r="C35" s="15" t="s">
        <v>141</v>
      </c>
      <c r="D35" s="15" t="s">
        <v>142</v>
      </c>
      <c r="E35" s="15" t="str">
        <f>"0,6413"</f>
        <v>0,6413</v>
      </c>
      <c r="F35" s="15" t="s">
        <v>20</v>
      </c>
      <c r="G35" s="15" t="s">
        <v>37</v>
      </c>
      <c r="H35" s="16" t="s">
        <v>90</v>
      </c>
      <c r="I35" s="16" t="s">
        <v>90</v>
      </c>
      <c r="J35" s="16" t="s">
        <v>90</v>
      </c>
      <c r="K35" s="17"/>
      <c r="L35" s="16"/>
      <c r="M35" s="17"/>
      <c r="N35" s="17"/>
      <c r="O35" s="17"/>
      <c r="P35" s="16"/>
      <c r="Q35" s="17"/>
      <c r="R35" s="17"/>
      <c r="S35" s="17"/>
      <c r="T35" s="17" t="s">
        <v>143</v>
      </c>
      <c r="U35" s="17" t="str">
        <f>"0,0000"</f>
        <v>0,0000</v>
      </c>
      <c r="V35" s="15" t="s">
        <v>144</v>
      </c>
    </row>
    <row r="36" ht="12.75">
      <c r="B36" s="5" t="s">
        <v>32</v>
      </c>
    </row>
    <row r="37" spans="1:21" ht="15">
      <c r="A37" s="45" t="s">
        <v>145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2" ht="12.75">
      <c r="A38" s="14" t="s">
        <v>16</v>
      </c>
      <c r="B38" s="11" t="s">
        <v>146</v>
      </c>
      <c r="C38" s="11" t="s">
        <v>147</v>
      </c>
      <c r="D38" s="11" t="s">
        <v>148</v>
      </c>
      <c r="E38" s="11" t="str">
        <f>"0,6177"</f>
        <v>0,6177</v>
      </c>
      <c r="F38" s="11" t="s">
        <v>20</v>
      </c>
      <c r="G38" s="11" t="s">
        <v>37</v>
      </c>
      <c r="H38" s="12" t="s">
        <v>106</v>
      </c>
      <c r="I38" s="12" t="s">
        <v>130</v>
      </c>
      <c r="J38" s="13" t="s">
        <v>130</v>
      </c>
      <c r="K38" s="14"/>
      <c r="L38" s="13" t="s">
        <v>60</v>
      </c>
      <c r="M38" s="12" t="s">
        <v>48</v>
      </c>
      <c r="N38" s="12" t="s">
        <v>48</v>
      </c>
      <c r="O38" s="14"/>
      <c r="P38" s="13" t="s">
        <v>118</v>
      </c>
      <c r="Q38" s="13" t="s">
        <v>149</v>
      </c>
      <c r="R38" s="13" t="s">
        <v>150</v>
      </c>
      <c r="S38" s="14"/>
      <c r="T38" s="14" t="str">
        <f>"512,5"</f>
        <v>512,5</v>
      </c>
      <c r="U38" s="14" t="str">
        <f>"316,5712"</f>
        <v>316,5712</v>
      </c>
      <c r="V38" s="11" t="s">
        <v>31</v>
      </c>
    </row>
    <row r="39" spans="1:22" ht="12.75">
      <c r="A39" s="17" t="s">
        <v>16</v>
      </c>
      <c r="B39" s="15" t="s">
        <v>151</v>
      </c>
      <c r="C39" s="15" t="s">
        <v>152</v>
      </c>
      <c r="D39" s="15" t="s">
        <v>153</v>
      </c>
      <c r="E39" s="15" t="str">
        <f>"0,6325"</f>
        <v>0,6325</v>
      </c>
      <c r="F39" s="15" t="s">
        <v>20</v>
      </c>
      <c r="G39" s="15" t="s">
        <v>154</v>
      </c>
      <c r="H39" s="18" t="s">
        <v>49</v>
      </c>
      <c r="I39" s="18" t="s">
        <v>61</v>
      </c>
      <c r="J39" s="18" t="s">
        <v>53</v>
      </c>
      <c r="K39" s="17"/>
      <c r="L39" s="18" t="s">
        <v>43</v>
      </c>
      <c r="M39" s="18" t="s">
        <v>48</v>
      </c>
      <c r="N39" s="18" t="s">
        <v>28</v>
      </c>
      <c r="O39" s="17"/>
      <c r="P39" s="18" t="s">
        <v>88</v>
      </c>
      <c r="Q39" s="18" t="s">
        <v>155</v>
      </c>
      <c r="R39" s="18" t="s">
        <v>123</v>
      </c>
      <c r="S39" s="17"/>
      <c r="T39" s="17" t="str">
        <f>"402,5"</f>
        <v>402,5</v>
      </c>
      <c r="U39" s="17" t="str">
        <f>"302,1879"</f>
        <v>302,1879</v>
      </c>
      <c r="V39" s="15" t="s">
        <v>31</v>
      </c>
    </row>
    <row r="40" ht="12.75">
      <c r="B40" s="5" t="s">
        <v>32</v>
      </c>
    </row>
    <row r="41" spans="1:21" ht="15">
      <c r="A41" s="45" t="s">
        <v>156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</row>
    <row r="42" spans="1:22" ht="12.75">
      <c r="A42" s="14" t="s">
        <v>16</v>
      </c>
      <c r="B42" s="11" t="s">
        <v>157</v>
      </c>
      <c r="C42" s="11" t="s">
        <v>158</v>
      </c>
      <c r="D42" s="11" t="s">
        <v>159</v>
      </c>
      <c r="E42" s="11" t="str">
        <f>"0,5946"</f>
        <v>0,5946</v>
      </c>
      <c r="F42" s="11" t="s">
        <v>20</v>
      </c>
      <c r="G42" s="11" t="s">
        <v>160</v>
      </c>
      <c r="H42" s="13" t="s">
        <v>100</v>
      </c>
      <c r="I42" s="13" t="s">
        <v>91</v>
      </c>
      <c r="J42" s="13" t="s">
        <v>161</v>
      </c>
      <c r="K42" s="14"/>
      <c r="L42" s="13" t="s">
        <v>123</v>
      </c>
      <c r="M42" s="13" t="s">
        <v>162</v>
      </c>
      <c r="N42" s="13" t="s">
        <v>125</v>
      </c>
      <c r="O42" s="14"/>
      <c r="P42" s="13" t="s">
        <v>163</v>
      </c>
      <c r="Q42" s="13" t="s">
        <v>164</v>
      </c>
      <c r="R42" s="13" t="s">
        <v>165</v>
      </c>
      <c r="S42" s="14"/>
      <c r="T42" s="14" t="str">
        <f>"680,0"</f>
        <v>680,0</v>
      </c>
      <c r="U42" s="14" t="str">
        <f>"404,3280"</f>
        <v>404,3280</v>
      </c>
      <c r="V42" s="11" t="s">
        <v>31</v>
      </c>
    </row>
    <row r="43" spans="1:22" ht="12.75">
      <c r="A43" s="17" t="s">
        <v>56</v>
      </c>
      <c r="B43" s="15" t="s">
        <v>166</v>
      </c>
      <c r="C43" s="15" t="s">
        <v>167</v>
      </c>
      <c r="D43" s="15" t="s">
        <v>168</v>
      </c>
      <c r="E43" s="15" t="str">
        <f>"0,6064"</f>
        <v>0,6064</v>
      </c>
      <c r="F43" s="15" t="s">
        <v>20</v>
      </c>
      <c r="G43" s="15" t="s">
        <v>37</v>
      </c>
      <c r="H43" s="18" t="s">
        <v>63</v>
      </c>
      <c r="I43" s="16" t="s">
        <v>123</v>
      </c>
      <c r="J43" s="16" t="s">
        <v>124</v>
      </c>
      <c r="K43" s="17"/>
      <c r="L43" s="18" t="s">
        <v>30</v>
      </c>
      <c r="M43" s="18" t="s">
        <v>50</v>
      </c>
      <c r="N43" s="18" t="s">
        <v>61</v>
      </c>
      <c r="O43" s="17"/>
      <c r="P43" s="16" t="s">
        <v>124</v>
      </c>
      <c r="Q43" s="18" t="s">
        <v>98</v>
      </c>
      <c r="R43" s="16" t="s">
        <v>125</v>
      </c>
      <c r="S43" s="17"/>
      <c r="T43" s="17" t="str">
        <f>"440,0"</f>
        <v>440,0</v>
      </c>
      <c r="U43" s="17" t="str">
        <f>"266,8160"</f>
        <v>266,8160</v>
      </c>
      <c r="V43" s="15" t="s">
        <v>31</v>
      </c>
    </row>
    <row r="44" ht="12.75">
      <c r="B44" s="5" t="s">
        <v>32</v>
      </c>
    </row>
    <row r="45" spans="1:21" ht="15">
      <c r="A45" s="45" t="s">
        <v>169</v>
      </c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</row>
    <row r="46" spans="1:22" ht="12.75">
      <c r="A46" s="10" t="s">
        <v>16</v>
      </c>
      <c r="B46" s="7" t="s">
        <v>170</v>
      </c>
      <c r="C46" s="7" t="s">
        <v>171</v>
      </c>
      <c r="D46" s="7" t="s">
        <v>172</v>
      </c>
      <c r="E46" s="7" t="str">
        <f>"0,5866"</f>
        <v>0,5866</v>
      </c>
      <c r="F46" s="7" t="s">
        <v>20</v>
      </c>
      <c r="G46" s="7" t="s">
        <v>37</v>
      </c>
      <c r="H46" s="9" t="s">
        <v>149</v>
      </c>
      <c r="I46" s="9" t="s">
        <v>91</v>
      </c>
      <c r="J46" s="9" t="s">
        <v>173</v>
      </c>
      <c r="K46" s="10"/>
      <c r="L46" s="9" t="s">
        <v>48</v>
      </c>
      <c r="M46" s="9" t="s">
        <v>50</v>
      </c>
      <c r="N46" s="9" t="s">
        <v>62</v>
      </c>
      <c r="O46" s="10"/>
      <c r="P46" s="9" t="s">
        <v>149</v>
      </c>
      <c r="Q46" s="9" t="s">
        <v>161</v>
      </c>
      <c r="R46" s="9" t="s">
        <v>173</v>
      </c>
      <c r="S46" s="10"/>
      <c r="T46" s="10" t="str">
        <f>"615,0"</f>
        <v>615,0</v>
      </c>
      <c r="U46" s="10" t="str">
        <f>"360,7590"</f>
        <v>360,7590</v>
      </c>
      <c r="V46" s="7" t="s">
        <v>174</v>
      </c>
    </row>
    <row r="47" ht="12.75">
      <c r="B47" s="5" t="s">
        <v>32</v>
      </c>
    </row>
    <row r="48" spans="2:6" ht="15">
      <c r="B48" s="5" t="s">
        <v>32</v>
      </c>
      <c r="F48" s="23"/>
    </row>
    <row r="49" ht="12.75">
      <c r="B49" s="5" t="s">
        <v>32</v>
      </c>
    </row>
    <row r="50" spans="2:4" ht="18">
      <c r="B50" s="5" t="s">
        <v>32</v>
      </c>
      <c r="C50" s="24" t="s">
        <v>175</v>
      </c>
      <c r="D50" s="24"/>
    </row>
    <row r="51" spans="2:4" ht="15">
      <c r="B51" s="5" t="s">
        <v>32</v>
      </c>
      <c r="C51" s="43" t="s">
        <v>176</v>
      </c>
      <c r="D51" s="43"/>
    </row>
    <row r="52" spans="2:4" ht="14.25">
      <c r="B52" s="5" t="s">
        <v>32</v>
      </c>
      <c r="C52" s="25"/>
      <c r="D52" s="25" t="s">
        <v>177</v>
      </c>
    </row>
    <row r="53" spans="2:7" ht="15">
      <c r="B53" s="5" t="s">
        <v>32</v>
      </c>
      <c r="C53" s="4" t="s">
        <v>178</v>
      </c>
      <c r="D53" s="4" t="s">
        <v>179</v>
      </c>
      <c r="E53" s="4" t="s">
        <v>180</v>
      </c>
      <c r="F53" s="4" t="s">
        <v>181</v>
      </c>
      <c r="G53" s="4" t="s">
        <v>182</v>
      </c>
    </row>
    <row r="54" spans="2:7" ht="12.75">
      <c r="B54" s="5" t="s">
        <v>32</v>
      </c>
      <c r="C54" s="5" t="s">
        <v>17</v>
      </c>
      <c r="D54" s="5" t="s">
        <v>177</v>
      </c>
      <c r="E54" s="6" t="s">
        <v>183</v>
      </c>
      <c r="F54" s="6" t="s">
        <v>163</v>
      </c>
      <c r="G54" s="6" t="s">
        <v>184</v>
      </c>
    </row>
    <row r="55" spans="2:7" ht="12.75">
      <c r="B55" s="5" t="s">
        <v>32</v>
      </c>
      <c r="C55" s="5" t="s">
        <v>45</v>
      </c>
      <c r="D55" s="5" t="s">
        <v>177</v>
      </c>
      <c r="E55" s="6" t="s">
        <v>185</v>
      </c>
      <c r="F55" s="6" t="s">
        <v>186</v>
      </c>
      <c r="G55" s="6" t="s">
        <v>187</v>
      </c>
    </row>
    <row r="56" spans="2:7" ht="12.75">
      <c r="B56" s="5" t="s">
        <v>32</v>
      </c>
      <c r="C56" s="5" t="s">
        <v>57</v>
      </c>
      <c r="D56" s="5" t="s">
        <v>177</v>
      </c>
      <c r="E56" s="6" t="s">
        <v>185</v>
      </c>
      <c r="F56" s="6" t="s">
        <v>188</v>
      </c>
      <c r="G56" s="6" t="s">
        <v>189</v>
      </c>
    </row>
    <row r="57" ht="12.75">
      <c r="B57" s="5" t="s">
        <v>32</v>
      </c>
    </row>
    <row r="58" ht="12.75">
      <c r="B58" s="5" t="s">
        <v>32</v>
      </c>
    </row>
    <row r="59" spans="2:4" ht="21.75" customHeight="1">
      <c r="B59" s="5" t="s">
        <v>32</v>
      </c>
      <c r="C59" s="43" t="s">
        <v>190</v>
      </c>
      <c r="D59" s="43"/>
    </row>
    <row r="60" ht="12.75">
      <c r="B60" s="5" t="s">
        <v>32</v>
      </c>
    </row>
    <row r="61" spans="2:4" ht="14.25">
      <c r="B61" s="5" t="s">
        <v>32</v>
      </c>
      <c r="C61" s="25"/>
      <c r="D61" s="25" t="s">
        <v>177</v>
      </c>
    </row>
    <row r="62" spans="2:7" ht="15">
      <c r="B62" s="5" t="s">
        <v>32</v>
      </c>
      <c r="C62" s="4" t="s">
        <v>178</v>
      </c>
      <c r="D62" s="4" t="s">
        <v>179</v>
      </c>
      <c r="E62" s="4" t="s">
        <v>180</v>
      </c>
      <c r="F62" s="4" t="s">
        <v>181</v>
      </c>
      <c r="G62" s="4" t="s">
        <v>182</v>
      </c>
    </row>
    <row r="63" spans="2:7" ht="12.75">
      <c r="B63" s="5" t="s">
        <v>32</v>
      </c>
      <c r="C63" s="5" t="s">
        <v>157</v>
      </c>
      <c r="D63" s="5" t="s">
        <v>177</v>
      </c>
      <c r="E63" s="6" t="s">
        <v>48</v>
      </c>
      <c r="F63" s="6" t="s">
        <v>191</v>
      </c>
      <c r="G63" s="6" t="s">
        <v>192</v>
      </c>
    </row>
    <row r="64" spans="2:7" ht="12.75">
      <c r="B64" s="5" t="s">
        <v>32</v>
      </c>
      <c r="C64" s="5" t="s">
        <v>85</v>
      </c>
      <c r="D64" s="5" t="s">
        <v>177</v>
      </c>
      <c r="E64" s="6" t="s">
        <v>185</v>
      </c>
      <c r="F64" s="6" t="s">
        <v>193</v>
      </c>
      <c r="G64" s="6" t="s">
        <v>194</v>
      </c>
    </row>
    <row r="65" spans="2:7" ht="12.75">
      <c r="B65" s="5" t="s">
        <v>32</v>
      </c>
      <c r="C65" s="5" t="s">
        <v>126</v>
      </c>
      <c r="D65" s="5" t="s">
        <v>177</v>
      </c>
      <c r="E65" s="6" t="s">
        <v>41</v>
      </c>
      <c r="F65" s="6" t="s">
        <v>195</v>
      </c>
      <c r="G65" s="6" t="s">
        <v>196</v>
      </c>
    </row>
  </sheetData>
  <sheetProtection/>
  <mergeCells count="25">
    <mergeCell ref="V3:V4"/>
    <mergeCell ref="A5:U5"/>
    <mergeCell ref="A8:U8"/>
    <mergeCell ref="A11:U11"/>
    <mergeCell ref="A1:V2"/>
    <mergeCell ref="A3:A4"/>
    <mergeCell ref="C3:C4"/>
    <mergeCell ref="D3:D4"/>
    <mergeCell ref="E3:E4"/>
    <mergeCell ref="G3:G4"/>
    <mergeCell ref="H3:K3"/>
    <mergeCell ref="L3:O3"/>
    <mergeCell ref="P3:S3"/>
    <mergeCell ref="A41:U41"/>
    <mergeCell ref="U3:U4"/>
    <mergeCell ref="A45:U45"/>
    <mergeCell ref="B3:B4"/>
    <mergeCell ref="A17:U17"/>
    <mergeCell ref="A20:U20"/>
    <mergeCell ref="A23:U23"/>
    <mergeCell ref="A27:U27"/>
    <mergeCell ref="A31:U31"/>
    <mergeCell ref="A37:U37"/>
    <mergeCell ref="T3:T4"/>
    <mergeCell ref="F3:F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1"/>
  <sheetViews>
    <sheetView zoomScale="71" zoomScaleNormal="71" zoomScalePageLayoutView="0" workbookViewId="0" topLeftCell="A1">
      <selection activeCell="U57" sqref="U57"/>
    </sheetView>
  </sheetViews>
  <sheetFormatPr defaultColWidth="9.125" defaultRowHeight="12.75"/>
  <cols>
    <col min="1" max="1" width="7.375" style="6" bestFit="1" customWidth="1"/>
    <col min="2" max="2" width="24.375" style="5" bestFit="1" customWidth="1"/>
    <col min="3" max="3" width="30.37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75390625" style="5" bestFit="1" customWidth="1"/>
    <col min="8" max="8" width="6.625" style="6" customWidth="1"/>
    <col min="9" max="9" width="7.875" style="6" customWidth="1"/>
    <col min="10" max="10" width="8.125" style="6" customWidth="1"/>
    <col min="11" max="11" width="7.75390625" style="6" customWidth="1"/>
    <col min="12" max="12" width="11.25390625" style="6" bestFit="1" customWidth="1"/>
    <col min="13" max="13" width="8.625" style="6" bestFit="1" customWidth="1"/>
    <col min="14" max="14" width="22.00390625" style="5" bestFit="1" customWidth="1"/>
    <col min="15" max="16384" width="9.125" style="3" customWidth="1"/>
  </cols>
  <sheetData>
    <row r="1" spans="1:14" s="2" customFormat="1" ht="28.5" customHeight="1">
      <c r="A1" s="55" t="s">
        <v>695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10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445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4" t="s">
        <v>16</v>
      </c>
      <c r="B6" s="11" t="s">
        <v>696</v>
      </c>
      <c r="C6" s="11" t="s">
        <v>697</v>
      </c>
      <c r="D6" s="11" t="s">
        <v>698</v>
      </c>
      <c r="E6" s="11" t="str">
        <f>"1,4936"</f>
        <v>1,4936</v>
      </c>
      <c r="F6" s="11" t="s">
        <v>20</v>
      </c>
      <c r="G6" s="11" t="s">
        <v>129</v>
      </c>
      <c r="H6" s="13" t="s">
        <v>23</v>
      </c>
      <c r="I6" s="13" t="s">
        <v>213</v>
      </c>
      <c r="J6" s="12" t="s">
        <v>41</v>
      </c>
      <c r="K6" s="14"/>
      <c r="L6" s="14" t="str">
        <f>"87,5"</f>
        <v>87,5</v>
      </c>
      <c r="M6" s="14" t="str">
        <f>"130,6900"</f>
        <v>130,6900</v>
      </c>
      <c r="N6" s="11" t="s">
        <v>387</v>
      </c>
    </row>
    <row r="7" spans="1:14" ht="12.75">
      <c r="A7" s="17" t="s">
        <v>16</v>
      </c>
      <c r="B7" s="15" t="s">
        <v>446</v>
      </c>
      <c r="C7" s="15" t="s">
        <v>699</v>
      </c>
      <c r="D7" s="15" t="s">
        <v>448</v>
      </c>
      <c r="E7" s="15" t="str">
        <f>"1,4936"</f>
        <v>1,4936</v>
      </c>
      <c r="F7" s="15" t="s">
        <v>20</v>
      </c>
      <c r="G7" s="15" t="s">
        <v>129</v>
      </c>
      <c r="H7" s="18" t="s">
        <v>205</v>
      </c>
      <c r="I7" s="18" t="s">
        <v>22</v>
      </c>
      <c r="J7" s="18" t="s">
        <v>39</v>
      </c>
      <c r="K7" s="17"/>
      <c r="L7" s="17" t="str">
        <f>"80,0"</f>
        <v>80,0</v>
      </c>
      <c r="M7" s="17" t="str">
        <f>"119,4880"</f>
        <v>119,4880</v>
      </c>
      <c r="N7" s="15" t="s">
        <v>134</v>
      </c>
    </row>
    <row r="8" ht="12.75">
      <c r="B8" s="5" t="s">
        <v>32</v>
      </c>
    </row>
    <row r="9" spans="1:13" ht="15">
      <c r="A9" s="45" t="s">
        <v>33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4" ht="12.75">
      <c r="A10" s="10" t="s">
        <v>16</v>
      </c>
      <c r="B10" s="7" t="s">
        <v>34</v>
      </c>
      <c r="C10" s="7" t="s">
        <v>35</v>
      </c>
      <c r="D10" s="7" t="s">
        <v>36</v>
      </c>
      <c r="E10" s="7" t="str">
        <f>"1,2485"</f>
        <v>1,2485</v>
      </c>
      <c r="F10" s="7" t="s">
        <v>20</v>
      </c>
      <c r="G10" s="7" t="s">
        <v>37</v>
      </c>
      <c r="H10" s="9" t="s">
        <v>41</v>
      </c>
      <c r="I10" s="9" t="s">
        <v>42</v>
      </c>
      <c r="J10" s="9" t="s">
        <v>43</v>
      </c>
      <c r="K10" s="10"/>
      <c r="L10" s="10" t="str">
        <f>"100,0"</f>
        <v>100,0</v>
      </c>
      <c r="M10" s="10" t="str">
        <f>"124,8500"</f>
        <v>124,8500</v>
      </c>
      <c r="N10" s="7" t="s">
        <v>31</v>
      </c>
    </row>
    <row r="11" ht="12.75">
      <c r="B11" s="5" t="s">
        <v>32</v>
      </c>
    </row>
    <row r="12" spans="1:13" ht="15">
      <c r="A12" s="45" t="s">
        <v>218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4" ht="12.75">
      <c r="A13" s="14" t="s">
        <v>16</v>
      </c>
      <c r="B13" s="11" t="s">
        <v>700</v>
      </c>
      <c r="C13" s="11" t="s">
        <v>701</v>
      </c>
      <c r="D13" s="11" t="s">
        <v>702</v>
      </c>
      <c r="E13" s="11" t="str">
        <f>"1,1883"</f>
        <v>1,1883</v>
      </c>
      <c r="F13" s="11" t="s">
        <v>20</v>
      </c>
      <c r="G13" s="11" t="s">
        <v>233</v>
      </c>
      <c r="H13" s="13" t="s">
        <v>43</v>
      </c>
      <c r="I13" s="13" t="s">
        <v>77</v>
      </c>
      <c r="J13" s="13" t="s">
        <v>28</v>
      </c>
      <c r="K13" s="14"/>
      <c r="L13" s="14" t="str">
        <f>"112,5"</f>
        <v>112,5</v>
      </c>
      <c r="M13" s="14" t="str">
        <f>"133,6838"</f>
        <v>133,6838</v>
      </c>
      <c r="N13" s="11" t="s">
        <v>31</v>
      </c>
    </row>
    <row r="14" spans="1:14" ht="12.75">
      <c r="A14" s="21" t="s">
        <v>56</v>
      </c>
      <c r="B14" s="19" t="s">
        <v>703</v>
      </c>
      <c r="C14" s="19" t="s">
        <v>704</v>
      </c>
      <c r="D14" s="19" t="s">
        <v>459</v>
      </c>
      <c r="E14" s="19" t="str">
        <f>"1,1985"</f>
        <v>1,1985</v>
      </c>
      <c r="F14" s="19" t="s">
        <v>20</v>
      </c>
      <c r="G14" s="19" t="s">
        <v>37</v>
      </c>
      <c r="H14" s="22" t="s">
        <v>60</v>
      </c>
      <c r="I14" s="20" t="s">
        <v>60</v>
      </c>
      <c r="J14" s="22" t="s">
        <v>48</v>
      </c>
      <c r="K14" s="21"/>
      <c r="L14" s="21" t="str">
        <f>"105,0"</f>
        <v>105,0</v>
      </c>
      <c r="M14" s="21" t="str">
        <f>"125,8425"</f>
        <v>125,8425</v>
      </c>
      <c r="N14" s="19" t="s">
        <v>31</v>
      </c>
    </row>
    <row r="15" spans="1:14" ht="12.75">
      <c r="A15" s="21" t="s">
        <v>16</v>
      </c>
      <c r="B15" s="19" t="s">
        <v>705</v>
      </c>
      <c r="C15" s="19" t="s">
        <v>706</v>
      </c>
      <c r="D15" s="19" t="s">
        <v>707</v>
      </c>
      <c r="E15" s="19" t="str">
        <f>"1,1916"</f>
        <v>1,1916</v>
      </c>
      <c r="F15" s="19" t="s">
        <v>20</v>
      </c>
      <c r="G15" s="19" t="s">
        <v>708</v>
      </c>
      <c r="H15" s="20" t="s">
        <v>30</v>
      </c>
      <c r="I15" s="20" t="s">
        <v>61</v>
      </c>
      <c r="J15" s="20" t="s">
        <v>53</v>
      </c>
      <c r="K15" s="21"/>
      <c r="L15" s="21" t="str">
        <f>"130,0"</f>
        <v>130,0</v>
      </c>
      <c r="M15" s="21" t="str">
        <f>"155,6825"</f>
        <v>155,6825</v>
      </c>
      <c r="N15" s="19" t="s">
        <v>31</v>
      </c>
    </row>
    <row r="16" spans="1:14" ht="12.75">
      <c r="A16" s="17" t="s">
        <v>16</v>
      </c>
      <c r="B16" s="15" t="s">
        <v>709</v>
      </c>
      <c r="C16" s="15" t="s">
        <v>710</v>
      </c>
      <c r="D16" s="15" t="s">
        <v>711</v>
      </c>
      <c r="E16" s="15" t="str">
        <f>"1,1799"</f>
        <v>1,1799</v>
      </c>
      <c r="F16" s="15" t="s">
        <v>20</v>
      </c>
      <c r="G16" s="15" t="s">
        <v>37</v>
      </c>
      <c r="H16" s="18" t="s">
        <v>41</v>
      </c>
      <c r="I16" s="16" t="s">
        <v>42</v>
      </c>
      <c r="J16" s="16" t="s">
        <v>42</v>
      </c>
      <c r="K16" s="17"/>
      <c r="L16" s="17" t="str">
        <f>"90,0"</f>
        <v>90,0</v>
      </c>
      <c r="M16" s="17" t="str">
        <f>"149,7293"</f>
        <v>149,7293</v>
      </c>
      <c r="N16" s="15" t="s">
        <v>576</v>
      </c>
    </row>
    <row r="17" ht="12.75">
      <c r="B17" s="5" t="s">
        <v>32</v>
      </c>
    </row>
    <row r="18" spans="1:13" ht="15">
      <c r="A18" s="45" t="s">
        <v>80</v>
      </c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4" ht="12.75">
      <c r="A19" s="14" t="s">
        <v>16</v>
      </c>
      <c r="B19" s="11" t="s">
        <v>265</v>
      </c>
      <c r="C19" s="11" t="s">
        <v>266</v>
      </c>
      <c r="D19" s="11" t="s">
        <v>267</v>
      </c>
      <c r="E19" s="11" t="str">
        <f>"1,1149"</f>
        <v>1,1149</v>
      </c>
      <c r="F19" s="11" t="s">
        <v>20</v>
      </c>
      <c r="G19" s="11" t="s">
        <v>37</v>
      </c>
      <c r="H19" s="13" t="s">
        <v>43</v>
      </c>
      <c r="I19" s="13" t="s">
        <v>48</v>
      </c>
      <c r="J19" s="16" t="s">
        <v>30</v>
      </c>
      <c r="K19" s="14"/>
      <c r="L19" s="14" t="str">
        <f>"110,0"</f>
        <v>110,0</v>
      </c>
      <c r="M19" s="14" t="str">
        <f>"122,6390"</f>
        <v>122,6390</v>
      </c>
      <c r="N19" s="11" t="s">
        <v>31</v>
      </c>
    </row>
    <row r="20" spans="1:14" ht="12.75">
      <c r="A20" s="17" t="s">
        <v>16</v>
      </c>
      <c r="B20" s="15" t="s">
        <v>712</v>
      </c>
      <c r="C20" s="15" t="s">
        <v>713</v>
      </c>
      <c r="D20" s="15" t="s">
        <v>714</v>
      </c>
      <c r="E20" s="15" t="str">
        <f>"1,1163"</f>
        <v>1,1163</v>
      </c>
      <c r="F20" s="15" t="s">
        <v>20</v>
      </c>
      <c r="G20" s="15" t="s">
        <v>226</v>
      </c>
      <c r="H20" s="18" t="s">
        <v>49</v>
      </c>
      <c r="I20" s="18" t="s">
        <v>50</v>
      </c>
      <c r="J20" s="16" t="s">
        <v>299</v>
      </c>
      <c r="K20" s="17"/>
      <c r="L20" s="17" t="str">
        <f>"122,5"</f>
        <v>122,5</v>
      </c>
      <c r="M20" s="17" t="str">
        <f>"136,7467"</f>
        <v>136,7467</v>
      </c>
      <c r="N20" s="15" t="s">
        <v>31</v>
      </c>
    </row>
    <row r="21" ht="12.75">
      <c r="B21" s="5" t="s">
        <v>32</v>
      </c>
    </row>
    <row r="22" spans="1:13" ht="15">
      <c r="A22" s="45" t="s">
        <v>44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 ht="12.75">
      <c r="A23" s="14" t="s">
        <v>16</v>
      </c>
      <c r="B23" s="11" t="s">
        <v>715</v>
      </c>
      <c r="C23" s="11" t="s">
        <v>716</v>
      </c>
      <c r="D23" s="11" t="s">
        <v>498</v>
      </c>
      <c r="E23" s="11" t="str">
        <f>"1,0206"</f>
        <v>1,0206</v>
      </c>
      <c r="F23" s="11" t="s">
        <v>20</v>
      </c>
      <c r="G23" s="11" t="s">
        <v>37</v>
      </c>
      <c r="H23" s="13" t="s">
        <v>62</v>
      </c>
      <c r="I23" s="13" t="s">
        <v>63</v>
      </c>
      <c r="J23" s="13" t="s">
        <v>88</v>
      </c>
      <c r="K23" s="14"/>
      <c r="L23" s="14" t="str">
        <f>"145,0"</f>
        <v>145,0</v>
      </c>
      <c r="M23" s="14" t="str">
        <f>"147,9870"</f>
        <v>147,9870</v>
      </c>
      <c r="N23" s="11" t="s">
        <v>31</v>
      </c>
    </row>
    <row r="24" spans="1:14" ht="12.75">
      <c r="A24" s="17" t="s">
        <v>56</v>
      </c>
      <c r="B24" s="15" t="s">
        <v>717</v>
      </c>
      <c r="C24" s="15" t="s">
        <v>718</v>
      </c>
      <c r="D24" s="15" t="s">
        <v>498</v>
      </c>
      <c r="E24" s="15" t="str">
        <f>"1,0206"</f>
        <v>1,0206</v>
      </c>
      <c r="F24" s="15" t="s">
        <v>20</v>
      </c>
      <c r="G24" s="15" t="s">
        <v>37</v>
      </c>
      <c r="H24" s="18" t="s">
        <v>299</v>
      </c>
      <c r="I24" s="18" t="s">
        <v>63</v>
      </c>
      <c r="J24" s="16" t="s">
        <v>245</v>
      </c>
      <c r="K24" s="17"/>
      <c r="L24" s="17" t="str">
        <f>"140,0"</f>
        <v>140,0</v>
      </c>
      <c r="M24" s="17" t="str">
        <f>"142,8840"</f>
        <v>142,8840</v>
      </c>
      <c r="N24" s="15" t="s">
        <v>719</v>
      </c>
    </row>
    <row r="25" ht="12.75">
      <c r="B25" s="5" t="s">
        <v>32</v>
      </c>
    </row>
    <row r="26" spans="1:13" ht="15">
      <c r="A26" s="45" t="s">
        <v>33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4" ht="12.75">
      <c r="A27" s="10" t="s">
        <v>16</v>
      </c>
      <c r="B27" s="7" t="s">
        <v>464</v>
      </c>
      <c r="C27" s="7" t="s">
        <v>465</v>
      </c>
      <c r="D27" s="7" t="s">
        <v>466</v>
      </c>
      <c r="E27" s="7" t="str">
        <f>"1,3354"</f>
        <v>1,3354</v>
      </c>
      <c r="F27" s="7" t="s">
        <v>20</v>
      </c>
      <c r="G27" s="7" t="s">
        <v>452</v>
      </c>
      <c r="H27" s="9" t="s">
        <v>52</v>
      </c>
      <c r="I27" s="9" t="s">
        <v>38</v>
      </c>
      <c r="J27" s="9" t="s">
        <v>22</v>
      </c>
      <c r="K27" s="10"/>
      <c r="L27" s="10" t="str">
        <f>"72,5"</f>
        <v>72,5</v>
      </c>
      <c r="M27" s="10" t="str">
        <f>"96,8165"</f>
        <v>96,8165</v>
      </c>
      <c r="N27" s="7" t="s">
        <v>469</v>
      </c>
    </row>
    <row r="28" ht="12.75">
      <c r="B28" s="5" t="s">
        <v>32</v>
      </c>
    </row>
    <row r="29" spans="1:13" ht="15">
      <c r="A29" s="45" t="s">
        <v>44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 ht="12.75">
      <c r="A30" s="14" t="s">
        <v>16</v>
      </c>
      <c r="B30" s="11" t="s">
        <v>85</v>
      </c>
      <c r="C30" s="11" t="s">
        <v>489</v>
      </c>
      <c r="D30" s="11" t="s">
        <v>59</v>
      </c>
      <c r="E30" s="11" t="str">
        <f>"0,7832"</f>
        <v>0,7832</v>
      </c>
      <c r="F30" s="11" t="s">
        <v>87</v>
      </c>
      <c r="G30" s="11" t="s">
        <v>37</v>
      </c>
      <c r="H30" s="13" t="s">
        <v>90</v>
      </c>
      <c r="I30" s="12" t="s">
        <v>91</v>
      </c>
      <c r="J30" s="13" t="s">
        <v>91</v>
      </c>
      <c r="K30" s="14"/>
      <c r="L30" s="14" t="str">
        <f>"225,0"</f>
        <v>225,0</v>
      </c>
      <c r="M30" s="14" t="str">
        <f>"176,2200"</f>
        <v>176,2200</v>
      </c>
      <c r="N30" s="11" t="s">
        <v>720</v>
      </c>
    </row>
    <row r="31" spans="1:14" ht="12.75">
      <c r="A31" s="21" t="s">
        <v>16</v>
      </c>
      <c r="B31" s="19" t="s">
        <v>85</v>
      </c>
      <c r="C31" s="19" t="s">
        <v>86</v>
      </c>
      <c r="D31" s="19" t="s">
        <v>59</v>
      </c>
      <c r="E31" s="19" t="str">
        <f>"0,7832"</f>
        <v>0,7832</v>
      </c>
      <c r="F31" s="19" t="s">
        <v>87</v>
      </c>
      <c r="G31" s="19" t="s">
        <v>37</v>
      </c>
      <c r="H31" s="20" t="s">
        <v>90</v>
      </c>
      <c r="I31" s="22" t="s">
        <v>91</v>
      </c>
      <c r="J31" s="20" t="s">
        <v>91</v>
      </c>
      <c r="K31" s="21"/>
      <c r="L31" s="21" t="str">
        <f>"225,0"</f>
        <v>225,0</v>
      </c>
      <c r="M31" s="21" t="str">
        <f>"176,2200"</f>
        <v>176,2200</v>
      </c>
      <c r="N31" s="19" t="s">
        <v>720</v>
      </c>
    </row>
    <row r="32" spans="1:14" ht="12.75">
      <c r="A32" s="17" t="s">
        <v>56</v>
      </c>
      <c r="B32" s="15" t="s">
        <v>490</v>
      </c>
      <c r="C32" s="15" t="s">
        <v>491</v>
      </c>
      <c r="D32" s="15" t="s">
        <v>492</v>
      </c>
      <c r="E32" s="15" t="str">
        <f>"0,7794"</f>
        <v>0,7794</v>
      </c>
      <c r="F32" s="15" t="s">
        <v>20</v>
      </c>
      <c r="G32" s="15" t="s">
        <v>21</v>
      </c>
      <c r="H32" s="18" t="s">
        <v>131</v>
      </c>
      <c r="I32" s="18" t="s">
        <v>90</v>
      </c>
      <c r="J32" s="16" t="s">
        <v>133</v>
      </c>
      <c r="K32" s="17"/>
      <c r="L32" s="17" t="str">
        <f>"205,0"</f>
        <v>205,0</v>
      </c>
      <c r="M32" s="17" t="str">
        <f>"159,7770"</f>
        <v>159,7770</v>
      </c>
      <c r="N32" s="15" t="s">
        <v>31</v>
      </c>
    </row>
    <row r="33" ht="12.75">
      <c r="B33" s="5" t="s">
        <v>32</v>
      </c>
    </row>
    <row r="34" spans="1:13" ht="15">
      <c r="A34" s="45" t="s">
        <v>93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4" ht="12.75">
      <c r="A35" s="14" t="s">
        <v>16</v>
      </c>
      <c r="B35" s="11" t="s">
        <v>94</v>
      </c>
      <c r="C35" s="11" t="s">
        <v>95</v>
      </c>
      <c r="D35" s="11" t="s">
        <v>96</v>
      </c>
      <c r="E35" s="11" t="str">
        <f>"0,7390"</f>
        <v>0,7390</v>
      </c>
      <c r="F35" s="11" t="s">
        <v>20</v>
      </c>
      <c r="G35" s="33" t="s">
        <v>97</v>
      </c>
      <c r="H35" s="13" t="s">
        <v>90</v>
      </c>
      <c r="I35" s="13" t="s">
        <v>100</v>
      </c>
      <c r="J35" s="14"/>
      <c r="K35" s="14"/>
      <c r="L35" s="14" t="str">
        <f>"215,0"</f>
        <v>215,0</v>
      </c>
      <c r="M35" s="14" t="str">
        <f>"158,8850"</f>
        <v>158,8850</v>
      </c>
      <c r="N35" s="11" t="s">
        <v>31</v>
      </c>
    </row>
    <row r="36" spans="1:14" ht="12.75">
      <c r="A36" s="21" t="s">
        <v>16</v>
      </c>
      <c r="B36" s="19" t="s">
        <v>721</v>
      </c>
      <c r="C36" s="19" t="s">
        <v>722</v>
      </c>
      <c r="D36" s="19" t="s">
        <v>723</v>
      </c>
      <c r="E36" s="19" t="str">
        <f>"0,7383"</f>
        <v>0,7383</v>
      </c>
      <c r="F36" s="19" t="s">
        <v>20</v>
      </c>
      <c r="G36" s="19" t="s">
        <v>504</v>
      </c>
      <c r="H36" s="22" t="s">
        <v>149</v>
      </c>
      <c r="I36" s="22" t="s">
        <v>100</v>
      </c>
      <c r="J36" s="20" t="s">
        <v>253</v>
      </c>
      <c r="K36" s="21"/>
      <c r="L36" s="21" t="str">
        <f>"220,0"</f>
        <v>220,0</v>
      </c>
      <c r="M36" s="21" t="str">
        <f>"162,4260"</f>
        <v>162,4260</v>
      </c>
      <c r="N36" s="19" t="s">
        <v>500</v>
      </c>
    </row>
    <row r="37" spans="1:14" ht="12.75">
      <c r="A37" s="21" t="s">
        <v>56</v>
      </c>
      <c r="B37" s="19" t="s">
        <v>724</v>
      </c>
      <c r="C37" s="19" t="s">
        <v>725</v>
      </c>
      <c r="D37" s="19" t="s">
        <v>726</v>
      </c>
      <c r="E37" s="19" t="str">
        <f>"0,7638"</f>
        <v>0,7638</v>
      </c>
      <c r="F37" s="19" t="s">
        <v>20</v>
      </c>
      <c r="G37" s="19" t="s">
        <v>233</v>
      </c>
      <c r="H37" s="22" t="s">
        <v>123</v>
      </c>
      <c r="I37" s="20" t="s">
        <v>105</v>
      </c>
      <c r="J37" s="22" t="s">
        <v>124</v>
      </c>
      <c r="K37" s="21"/>
      <c r="L37" s="21" t="str">
        <f>"165,0"</f>
        <v>165,0</v>
      </c>
      <c r="M37" s="21" t="str">
        <f>"126,0270"</f>
        <v>126,0270</v>
      </c>
      <c r="N37" s="19" t="s">
        <v>727</v>
      </c>
    </row>
    <row r="38" spans="1:14" ht="12.75">
      <c r="A38" s="21" t="s">
        <v>16</v>
      </c>
      <c r="B38" s="19" t="s">
        <v>728</v>
      </c>
      <c r="C38" s="19" t="s">
        <v>729</v>
      </c>
      <c r="D38" s="19" t="s">
        <v>730</v>
      </c>
      <c r="E38" s="19" t="str">
        <f>"0,7249"</f>
        <v>0,7249</v>
      </c>
      <c r="F38" s="19" t="s">
        <v>20</v>
      </c>
      <c r="G38" s="19" t="s">
        <v>731</v>
      </c>
      <c r="H38" s="20" t="s">
        <v>100</v>
      </c>
      <c r="I38" s="20" t="s">
        <v>308</v>
      </c>
      <c r="J38" s="22" t="s">
        <v>291</v>
      </c>
      <c r="K38" s="21"/>
      <c r="L38" s="21" t="str">
        <f>"227,5"</f>
        <v>227,5</v>
      </c>
      <c r="M38" s="21" t="str">
        <f>"164,9148"</f>
        <v>164,9148</v>
      </c>
      <c r="N38" s="19" t="s">
        <v>31</v>
      </c>
    </row>
    <row r="39" spans="1:14" ht="12.75">
      <c r="A39" s="21" t="s">
        <v>56</v>
      </c>
      <c r="B39" s="19" t="s">
        <v>732</v>
      </c>
      <c r="C39" s="19" t="s">
        <v>733</v>
      </c>
      <c r="D39" s="19" t="s">
        <v>236</v>
      </c>
      <c r="E39" s="19" t="str">
        <f>"0,7193"</f>
        <v>0,7193</v>
      </c>
      <c r="F39" s="19" t="s">
        <v>20</v>
      </c>
      <c r="G39" s="19" t="s">
        <v>379</v>
      </c>
      <c r="H39" s="20" t="s">
        <v>90</v>
      </c>
      <c r="I39" s="20" t="s">
        <v>149</v>
      </c>
      <c r="J39" s="20" t="s">
        <v>100</v>
      </c>
      <c r="K39" s="21"/>
      <c r="L39" s="21" t="str">
        <f>"215,0"</f>
        <v>215,0</v>
      </c>
      <c r="M39" s="21" t="str">
        <f>"154,6495"</f>
        <v>154,6495</v>
      </c>
      <c r="N39" s="19" t="s">
        <v>31</v>
      </c>
    </row>
    <row r="40" spans="1:14" ht="12.75">
      <c r="A40" s="21" t="s">
        <v>65</v>
      </c>
      <c r="B40" s="19" t="s">
        <v>268</v>
      </c>
      <c r="C40" s="19" t="s">
        <v>269</v>
      </c>
      <c r="D40" s="19" t="s">
        <v>270</v>
      </c>
      <c r="E40" s="19" t="str">
        <f>"0,7278"</f>
        <v>0,7278</v>
      </c>
      <c r="F40" s="19" t="s">
        <v>20</v>
      </c>
      <c r="G40" s="19" t="s">
        <v>37</v>
      </c>
      <c r="H40" s="22" t="s">
        <v>130</v>
      </c>
      <c r="I40" s="20" t="s">
        <v>130</v>
      </c>
      <c r="J40" s="22" t="s">
        <v>118</v>
      </c>
      <c r="K40" s="21"/>
      <c r="L40" s="21" t="str">
        <f>"190,0"</f>
        <v>190,0</v>
      </c>
      <c r="M40" s="21" t="str">
        <f>"138,2820"</f>
        <v>138,2820</v>
      </c>
      <c r="N40" s="19" t="s">
        <v>734</v>
      </c>
    </row>
    <row r="41" spans="1:14" ht="12.75">
      <c r="A41" s="17" t="s">
        <v>16</v>
      </c>
      <c r="B41" s="15" t="s">
        <v>735</v>
      </c>
      <c r="C41" s="15" t="s">
        <v>736</v>
      </c>
      <c r="D41" s="15" t="s">
        <v>737</v>
      </c>
      <c r="E41" s="15" t="str">
        <f>"0,7647"</f>
        <v>0,7647</v>
      </c>
      <c r="F41" s="15" t="s">
        <v>69</v>
      </c>
      <c r="G41" s="15" t="s">
        <v>738</v>
      </c>
      <c r="H41" s="18" t="s">
        <v>123</v>
      </c>
      <c r="I41" s="16" t="s">
        <v>124</v>
      </c>
      <c r="J41" s="17"/>
      <c r="K41" s="17"/>
      <c r="L41" s="17" t="str">
        <f>"160,0"</f>
        <v>160,0</v>
      </c>
      <c r="M41" s="17" t="str">
        <f>"252,0451"</f>
        <v>252,0451</v>
      </c>
      <c r="N41" s="15" t="s">
        <v>739</v>
      </c>
    </row>
    <row r="42" ht="12.75">
      <c r="B42" s="5" t="s">
        <v>32</v>
      </c>
    </row>
    <row r="43" spans="1:13" ht="15">
      <c r="A43" s="45" t="s">
        <v>107</v>
      </c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4" ht="12.75">
      <c r="A44" s="14" t="s">
        <v>16</v>
      </c>
      <c r="B44" s="11" t="s">
        <v>113</v>
      </c>
      <c r="C44" s="11" t="s">
        <v>114</v>
      </c>
      <c r="D44" s="11" t="s">
        <v>115</v>
      </c>
      <c r="E44" s="11" t="str">
        <f>"0,6769"</f>
        <v>0,6769</v>
      </c>
      <c r="F44" s="11" t="s">
        <v>20</v>
      </c>
      <c r="G44" s="11" t="s">
        <v>37</v>
      </c>
      <c r="H44" s="13" t="s">
        <v>106</v>
      </c>
      <c r="I44" s="13" t="s">
        <v>118</v>
      </c>
      <c r="J44" s="12" t="s">
        <v>90</v>
      </c>
      <c r="K44" s="14"/>
      <c r="L44" s="14" t="str">
        <f>"200,0"</f>
        <v>200,0</v>
      </c>
      <c r="M44" s="14" t="str">
        <f>"135,3800"</f>
        <v>135,3800</v>
      </c>
      <c r="N44" s="11" t="s">
        <v>92</v>
      </c>
    </row>
    <row r="45" spans="1:14" ht="12.75">
      <c r="A45" s="21" t="s">
        <v>16</v>
      </c>
      <c r="B45" s="19" t="s">
        <v>740</v>
      </c>
      <c r="C45" s="19" t="s">
        <v>741</v>
      </c>
      <c r="D45" s="19" t="s">
        <v>742</v>
      </c>
      <c r="E45" s="19" t="str">
        <f>"0,6759"</f>
        <v>0,6759</v>
      </c>
      <c r="F45" s="19" t="s">
        <v>20</v>
      </c>
      <c r="G45" s="19" t="s">
        <v>37</v>
      </c>
      <c r="H45" s="20" t="s">
        <v>130</v>
      </c>
      <c r="I45" s="20" t="s">
        <v>90</v>
      </c>
      <c r="J45" s="22" t="s">
        <v>253</v>
      </c>
      <c r="K45" s="21"/>
      <c r="L45" s="21" t="str">
        <f>"205,0"</f>
        <v>205,0</v>
      </c>
      <c r="M45" s="21" t="str">
        <f>"138,5595"</f>
        <v>138,5595</v>
      </c>
      <c r="N45" s="19" t="s">
        <v>515</v>
      </c>
    </row>
    <row r="46" spans="1:14" ht="12.75">
      <c r="A46" s="21" t="s">
        <v>56</v>
      </c>
      <c r="B46" s="19" t="s">
        <v>519</v>
      </c>
      <c r="C46" s="19" t="s">
        <v>520</v>
      </c>
      <c r="D46" s="19" t="s">
        <v>115</v>
      </c>
      <c r="E46" s="19" t="str">
        <f>"0,6769"</f>
        <v>0,6769</v>
      </c>
      <c r="F46" s="19" t="s">
        <v>20</v>
      </c>
      <c r="G46" s="19" t="s">
        <v>37</v>
      </c>
      <c r="H46" s="20" t="s">
        <v>125</v>
      </c>
      <c r="I46" s="20" t="s">
        <v>130</v>
      </c>
      <c r="J46" s="20" t="s">
        <v>118</v>
      </c>
      <c r="K46" s="21"/>
      <c r="L46" s="21" t="str">
        <f>"200,0"</f>
        <v>200,0</v>
      </c>
      <c r="M46" s="21" t="str">
        <f>"135,3800"</f>
        <v>135,3800</v>
      </c>
      <c r="N46" s="19" t="s">
        <v>521</v>
      </c>
    </row>
    <row r="47" spans="1:14" ht="12.75">
      <c r="A47" s="21" t="s">
        <v>16</v>
      </c>
      <c r="B47" s="19" t="s">
        <v>743</v>
      </c>
      <c r="C47" s="19" t="s">
        <v>744</v>
      </c>
      <c r="D47" s="19" t="s">
        <v>745</v>
      </c>
      <c r="E47" s="19" t="str">
        <f>"0,6724"</f>
        <v>0,6724</v>
      </c>
      <c r="F47" s="19" t="s">
        <v>20</v>
      </c>
      <c r="G47" s="19" t="s">
        <v>37</v>
      </c>
      <c r="H47" s="20" t="s">
        <v>173</v>
      </c>
      <c r="I47" s="20" t="s">
        <v>321</v>
      </c>
      <c r="J47" s="22" t="s">
        <v>382</v>
      </c>
      <c r="K47" s="21"/>
      <c r="L47" s="21" t="str">
        <f>"250,0"</f>
        <v>250,0</v>
      </c>
      <c r="M47" s="21" t="str">
        <f>"168,1000"</f>
        <v>168,1000</v>
      </c>
      <c r="N47" s="19" t="s">
        <v>515</v>
      </c>
    </row>
    <row r="48" spans="1:14" ht="12.75">
      <c r="A48" s="21" t="s">
        <v>56</v>
      </c>
      <c r="B48" s="19" t="s">
        <v>746</v>
      </c>
      <c r="C48" s="19" t="s">
        <v>747</v>
      </c>
      <c r="D48" s="19" t="s">
        <v>748</v>
      </c>
      <c r="E48" s="19" t="str">
        <f>"0,6816"</f>
        <v>0,6816</v>
      </c>
      <c r="F48" s="19" t="s">
        <v>20</v>
      </c>
      <c r="G48" s="19" t="s">
        <v>37</v>
      </c>
      <c r="H48" s="20" t="s">
        <v>125</v>
      </c>
      <c r="I48" s="20" t="s">
        <v>130</v>
      </c>
      <c r="J48" s="22" t="s">
        <v>118</v>
      </c>
      <c r="K48" s="21"/>
      <c r="L48" s="21" t="str">
        <f>"190,0"</f>
        <v>190,0</v>
      </c>
      <c r="M48" s="21" t="str">
        <f>"129,5040"</f>
        <v>129,5040</v>
      </c>
      <c r="N48" s="19" t="s">
        <v>31</v>
      </c>
    </row>
    <row r="49" spans="1:14" ht="12.75">
      <c r="A49" s="17" t="s">
        <v>65</v>
      </c>
      <c r="B49" s="15" t="s">
        <v>749</v>
      </c>
      <c r="C49" s="15" t="s">
        <v>750</v>
      </c>
      <c r="D49" s="15" t="s">
        <v>619</v>
      </c>
      <c r="E49" s="15" t="str">
        <f>"0,6704"</f>
        <v>0,6704</v>
      </c>
      <c r="F49" s="15" t="s">
        <v>20</v>
      </c>
      <c r="G49" s="15" t="s">
        <v>37</v>
      </c>
      <c r="H49" s="16" t="s">
        <v>63</v>
      </c>
      <c r="I49" s="18" t="s">
        <v>63</v>
      </c>
      <c r="J49" s="18" t="s">
        <v>155</v>
      </c>
      <c r="K49" s="17"/>
      <c r="L49" s="17" t="str">
        <f>"155,0"</f>
        <v>155,0</v>
      </c>
      <c r="M49" s="17" t="str">
        <f>"103,9120"</f>
        <v>103,9120</v>
      </c>
      <c r="N49" s="15" t="s">
        <v>31</v>
      </c>
    </row>
    <row r="50" ht="12.75">
      <c r="B50" s="5" t="s">
        <v>32</v>
      </c>
    </row>
    <row r="51" spans="1:13" ht="15">
      <c r="A51" s="45" t="s">
        <v>119</v>
      </c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14" ht="12.75">
      <c r="A52" s="14" t="s">
        <v>16</v>
      </c>
      <c r="B52" s="11" t="s">
        <v>751</v>
      </c>
      <c r="C52" s="11" t="s">
        <v>752</v>
      </c>
      <c r="D52" s="11" t="s">
        <v>540</v>
      </c>
      <c r="E52" s="11" t="str">
        <f>"0,6395"</f>
        <v>0,6395</v>
      </c>
      <c r="F52" s="11" t="s">
        <v>20</v>
      </c>
      <c r="G52" s="11" t="s">
        <v>37</v>
      </c>
      <c r="H52" s="13" t="s">
        <v>161</v>
      </c>
      <c r="I52" s="13" t="s">
        <v>173</v>
      </c>
      <c r="J52" s="12" t="s">
        <v>321</v>
      </c>
      <c r="K52" s="14"/>
      <c r="L52" s="14" t="str">
        <f>"240,0"</f>
        <v>240,0</v>
      </c>
      <c r="M52" s="14" t="str">
        <f>"153,4800"</f>
        <v>153,4800</v>
      </c>
      <c r="N52" s="11" t="s">
        <v>500</v>
      </c>
    </row>
    <row r="53" spans="1:14" ht="12.75">
      <c r="A53" s="21" t="s">
        <v>56</v>
      </c>
      <c r="B53" s="19" t="s">
        <v>753</v>
      </c>
      <c r="C53" s="19" t="s">
        <v>361</v>
      </c>
      <c r="D53" s="19" t="s">
        <v>362</v>
      </c>
      <c r="E53" s="19" t="str">
        <f>"0,6440"</f>
        <v>0,6440</v>
      </c>
      <c r="F53" s="19" t="s">
        <v>20</v>
      </c>
      <c r="G53" s="19" t="s">
        <v>129</v>
      </c>
      <c r="H53" s="20" t="s">
        <v>161</v>
      </c>
      <c r="I53" s="22" t="s">
        <v>321</v>
      </c>
      <c r="J53" s="22" t="s">
        <v>321</v>
      </c>
      <c r="K53" s="21"/>
      <c r="L53" s="21" t="str">
        <f>"230,0"</f>
        <v>230,0</v>
      </c>
      <c r="M53" s="21" t="str">
        <f>"148,1200"</f>
        <v>148,1200</v>
      </c>
      <c r="N53" s="19" t="s">
        <v>134</v>
      </c>
    </row>
    <row r="54" spans="1:14" ht="12.75">
      <c r="A54" s="21" t="s">
        <v>65</v>
      </c>
      <c r="B54" s="19" t="s">
        <v>363</v>
      </c>
      <c r="C54" s="19" t="s">
        <v>364</v>
      </c>
      <c r="D54" s="19" t="s">
        <v>365</v>
      </c>
      <c r="E54" s="19" t="str">
        <f>"0,6384"</f>
        <v>0,6384</v>
      </c>
      <c r="F54" s="19" t="s">
        <v>20</v>
      </c>
      <c r="G54" s="19" t="s">
        <v>37</v>
      </c>
      <c r="H54" s="20" t="s">
        <v>90</v>
      </c>
      <c r="I54" s="20" t="s">
        <v>100</v>
      </c>
      <c r="J54" s="22" t="s">
        <v>133</v>
      </c>
      <c r="K54" s="21"/>
      <c r="L54" s="21" t="str">
        <f>"215,0"</f>
        <v>215,0</v>
      </c>
      <c r="M54" s="21" t="str">
        <f>"137,2560"</f>
        <v>137,2560</v>
      </c>
      <c r="N54" s="19" t="s">
        <v>754</v>
      </c>
    </row>
    <row r="55" spans="1:14" ht="12.75">
      <c r="A55" s="21" t="s">
        <v>74</v>
      </c>
      <c r="B55" s="19" t="s">
        <v>755</v>
      </c>
      <c r="C55" s="19" t="s">
        <v>756</v>
      </c>
      <c r="D55" s="19" t="s">
        <v>365</v>
      </c>
      <c r="E55" s="19" t="str">
        <f>"0,6384"</f>
        <v>0,6384</v>
      </c>
      <c r="F55" s="19" t="s">
        <v>20</v>
      </c>
      <c r="G55" s="19" t="s">
        <v>37</v>
      </c>
      <c r="H55" s="20" t="s">
        <v>118</v>
      </c>
      <c r="I55" s="20" t="s">
        <v>149</v>
      </c>
      <c r="J55" s="22" t="s">
        <v>150</v>
      </c>
      <c r="K55" s="21"/>
      <c r="L55" s="21" t="str">
        <f>"210,0"</f>
        <v>210,0</v>
      </c>
      <c r="M55" s="21" t="str">
        <f>"134,0640"</f>
        <v>134,0640</v>
      </c>
      <c r="N55" s="19" t="s">
        <v>567</v>
      </c>
    </row>
    <row r="56" spans="1:14" ht="12.75">
      <c r="A56" s="17" t="s">
        <v>139</v>
      </c>
      <c r="B56" s="15" t="s">
        <v>757</v>
      </c>
      <c r="C56" s="15" t="s">
        <v>758</v>
      </c>
      <c r="D56" s="15" t="s">
        <v>759</v>
      </c>
      <c r="E56" s="15" t="str">
        <f>"0,6444"</f>
        <v>0,6444</v>
      </c>
      <c r="F56" s="15" t="s">
        <v>69</v>
      </c>
      <c r="G56" s="15" t="s">
        <v>21</v>
      </c>
      <c r="H56" s="16" t="s">
        <v>130</v>
      </c>
      <c r="I56" s="16" t="s">
        <v>149</v>
      </c>
      <c r="J56" s="16" t="s">
        <v>149</v>
      </c>
      <c r="K56" s="17"/>
      <c r="L56" s="17" t="s">
        <v>143</v>
      </c>
      <c r="M56" s="17" t="str">
        <f>"0,0000"</f>
        <v>0,0000</v>
      </c>
      <c r="N56" s="15" t="s">
        <v>64</v>
      </c>
    </row>
    <row r="57" ht="12.75">
      <c r="B57" s="5" t="s">
        <v>32</v>
      </c>
    </row>
    <row r="58" spans="1:13" ht="15">
      <c r="A58" s="45" t="s">
        <v>145</v>
      </c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1:14" ht="12.75">
      <c r="A59" s="14" t="s">
        <v>16</v>
      </c>
      <c r="B59" s="11" t="s">
        <v>760</v>
      </c>
      <c r="C59" s="11" t="s">
        <v>761</v>
      </c>
      <c r="D59" s="11" t="s">
        <v>762</v>
      </c>
      <c r="E59" s="11" t="str">
        <f>"0,6254"</f>
        <v>0,6254</v>
      </c>
      <c r="F59" s="11" t="s">
        <v>378</v>
      </c>
      <c r="G59" s="11" t="s">
        <v>379</v>
      </c>
      <c r="H59" s="13" t="s">
        <v>321</v>
      </c>
      <c r="I59" s="12" t="s">
        <v>261</v>
      </c>
      <c r="J59" s="13" t="s">
        <v>261</v>
      </c>
      <c r="K59" s="14"/>
      <c r="L59" s="14" t="str">
        <f>"265,0"</f>
        <v>265,0</v>
      </c>
      <c r="M59" s="14" t="str">
        <f>"165,7310"</f>
        <v>165,7310</v>
      </c>
      <c r="N59" s="11" t="s">
        <v>473</v>
      </c>
    </row>
    <row r="60" spans="1:14" ht="12.75">
      <c r="A60" s="21" t="s">
        <v>56</v>
      </c>
      <c r="B60" s="19" t="s">
        <v>370</v>
      </c>
      <c r="C60" s="19" t="s">
        <v>371</v>
      </c>
      <c r="D60" s="19" t="s">
        <v>372</v>
      </c>
      <c r="E60" s="19" t="str">
        <f>"0,6111"</f>
        <v>0,6111</v>
      </c>
      <c r="F60" s="19" t="s">
        <v>20</v>
      </c>
      <c r="G60" s="19" t="s">
        <v>37</v>
      </c>
      <c r="H60" s="20" t="s">
        <v>373</v>
      </c>
      <c r="I60" s="20" t="s">
        <v>374</v>
      </c>
      <c r="J60" s="20" t="s">
        <v>261</v>
      </c>
      <c r="K60" s="21"/>
      <c r="L60" s="21" t="str">
        <f>"265,0"</f>
        <v>265,0</v>
      </c>
      <c r="M60" s="21" t="str">
        <f>"161,9415"</f>
        <v>161,9415</v>
      </c>
      <c r="N60" s="19" t="s">
        <v>31</v>
      </c>
    </row>
    <row r="61" spans="1:14" ht="12.75">
      <c r="A61" s="21" t="s">
        <v>65</v>
      </c>
      <c r="B61" s="19" t="s">
        <v>366</v>
      </c>
      <c r="C61" s="19" t="s">
        <v>367</v>
      </c>
      <c r="D61" s="19" t="s">
        <v>368</v>
      </c>
      <c r="E61" s="19" t="str">
        <f>"0,6136"</f>
        <v>0,6136</v>
      </c>
      <c r="F61" s="19" t="s">
        <v>20</v>
      </c>
      <c r="G61" s="19" t="s">
        <v>37</v>
      </c>
      <c r="H61" s="22" t="s">
        <v>164</v>
      </c>
      <c r="I61" s="20" t="s">
        <v>164</v>
      </c>
      <c r="J61" s="21"/>
      <c r="K61" s="21"/>
      <c r="L61" s="21" t="str">
        <f>"260,0"</f>
        <v>260,0</v>
      </c>
      <c r="M61" s="21" t="str">
        <f>"159,5360"</f>
        <v>159,5360</v>
      </c>
      <c r="N61" s="19" t="s">
        <v>31</v>
      </c>
    </row>
    <row r="62" spans="1:14" ht="12.75">
      <c r="A62" s="21" t="s">
        <v>74</v>
      </c>
      <c r="B62" s="19" t="s">
        <v>763</v>
      </c>
      <c r="C62" s="19" t="s">
        <v>764</v>
      </c>
      <c r="D62" s="19" t="s">
        <v>337</v>
      </c>
      <c r="E62" s="19" t="str">
        <f>"0,6139"</f>
        <v>0,6139</v>
      </c>
      <c r="F62" s="19" t="s">
        <v>20</v>
      </c>
      <c r="G62" s="19" t="s">
        <v>37</v>
      </c>
      <c r="H62" s="22" t="s">
        <v>173</v>
      </c>
      <c r="I62" s="20" t="s">
        <v>173</v>
      </c>
      <c r="J62" s="22" t="s">
        <v>369</v>
      </c>
      <c r="K62" s="21"/>
      <c r="L62" s="21" t="str">
        <f>"240,0"</f>
        <v>240,0</v>
      </c>
      <c r="M62" s="21" t="str">
        <f>"147,3360"</f>
        <v>147,3360</v>
      </c>
      <c r="N62" s="19" t="s">
        <v>31</v>
      </c>
    </row>
    <row r="63" spans="1:14" ht="12.75">
      <c r="A63" s="17" t="s">
        <v>16</v>
      </c>
      <c r="B63" s="15" t="s">
        <v>765</v>
      </c>
      <c r="C63" s="15" t="s">
        <v>766</v>
      </c>
      <c r="D63" s="15" t="s">
        <v>585</v>
      </c>
      <c r="E63" s="15" t="str">
        <f>"0,6106"</f>
        <v>0,6106</v>
      </c>
      <c r="F63" s="15" t="s">
        <v>20</v>
      </c>
      <c r="G63" s="15" t="s">
        <v>37</v>
      </c>
      <c r="H63" s="18" t="s">
        <v>163</v>
      </c>
      <c r="I63" s="18" t="s">
        <v>382</v>
      </c>
      <c r="J63" s="18" t="s">
        <v>409</v>
      </c>
      <c r="K63" s="18" t="s">
        <v>767</v>
      </c>
      <c r="L63" s="17" t="str">
        <f>"262,5"</f>
        <v>262,5</v>
      </c>
      <c r="M63" s="17" t="str">
        <f>"167,3349"</f>
        <v>167,3349</v>
      </c>
      <c r="N63" s="15" t="s">
        <v>64</v>
      </c>
    </row>
    <row r="64" ht="12.75">
      <c r="B64" s="5" t="s">
        <v>32</v>
      </c>
    </row>
    <row r="65" spans="1:13" ht="15">
      <c r="A65" s="45" t="s">
        <v>156</v>
      </c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4" ht="12.75">
      <c r="A66" s="14" t="s">
        <v>16</v>
      </c>
      <c r="B66" s="11" t="s">
        <v>375</v>
      </c>
      <c r="C66" s="11" t="s">
        <v>376</v>
      </c>
      <c r="D66" s="11" t="s">
        <v>377</v>
      </c>
      <c r="E66" s="11" t="str">
        <f>"0,5972"</f>
        <v>0,5972</v>
      </c>
      <c r="F66" s="11" t="s">
        <v>378</v>
      </c>
      <c r="G66" s="11" t="s">
        <v>379</v>
      </c>
      <c r="H66" s="13" t="s">
        <v>382</v>
      </c>
      <c r="I66" s="13" t="s">
        <v>261</v>
      </c>
      <c r="J66" s="13" t="s">
        <v>165</v>
      </c>
      <c r="K66" s="14"/>
      <c r="L66" s="14" t="str">
        <f>"270,0"</f>
        <v>270,0</v>
      </c>
      <c r="M66" s="14" t="str">
        <f>"161,2440"</f>
        <v>161,2440</v>
      </c>
      <c r="N66" s="11" t="s">
        <v>473</v>
      </c>
    </row>
    <row r="67" spans="1:14" ht="12.75">
      <c r="A67" s="21" t="s">
        <v>56</v>
      </c>
      <c r="B67" s="19" t="s">
        <v>157</v>
      </c>
      <c r="C67" s="19" t="s">
        <v>158</v>
      </c>
      <c r="D67" s="19" t="s">
        <v>159</v>
      </c>
      <c r="E67" s="19" t="str">
        <f>"0,5946"</f>
        <v>0,5946</v>
      </c>
      <c r="F67" s="19" t="s">
        <v>20</v>
      </c>
      <c r="G67" s="19" t="s">
        <v>160</v>
      </c>
      <c r="H67" s="20" t="s">
        <v>163</v>
      </c>
      <c r="I67" s="20" t="s">
        <v>164</v>
      </c>
      <c r="J67" s="20" t="s">
        <v>165</v>
      </c>
      <c r="K67" s="21"/>
      <c r="L67" s="21" t="str">
        <f>"270,0"</f>
        <v>270,0</v>
      </c>
      <c r="M67" s="21" t="str">
        <f>"160,5420"</f>
        <v>160,5420</v>
      </c>
      <c r="N67" s="19" t="s">
        <v>31</v>
      </c>
    </row>
    <row r="68" spans="1:14" ht="12.75">
      <c r="A68" s="21" t="s">
        <v>65</v>
      </c>
      <c r="B68" s="19" t="s">
        <v>768</v>
      </c>
      <c r="C68" s="19" t="s">
        <v>769</v>
      </c>
      <c r="D68" s="19" t="s">
        <v>770</v>
      </c>
      <c r="E68" s="19" t="str">
        <f>"0,5900"</f>
        <v>0,5900</v>
      </c>
      <c r="F68" s="19" t="s">
        <v>20</v>
      </c>
      <c r="G68" s="19" t="s">
        <v>37</v>
      </c>
      <c r="H68" s="20" t="s">
        <v>321</v>
      </c>
      <c r="I68" s="22" t="s">
        <v>164</v>
      </c>
      <c r="J68" s="20" t="s">
        <v>164</v>
      </c>
      <c r="K68" s="21"/>
      <c r="L68" s="21" t="str">
        <f>"260,0"</f>
        <v>260,0</v>
      </c>
      <c r="M68" s="21" t="str">
        <f>"153,4000"</f>
        <v>153,4000</v>
      </c>
      <c r="N68" s="19" t="s">
        <v>771</v>
      </c>
    </row>
    <row r="69" spans="1:14" ht="12.75">
      <c r="A69" s="21" t="s">
        <v>74</v>
      </c>
      <c r="B69" s="19" t="s">
        <v>384</v>
      </c>
      <c r="C69" s="19" t="s">
        <v>385</v>
      </c>
      <c r="D69" s="19" t="s">
        <v>386</v>
      </c>
      <c r="E69" s="19" t="str">
        <f>"0,5924"</f>
        <v>0,5924</v>
      </c>
      <c r="F69" s="19" t="s">
        <v>20</v>
      </c>
      <c r="G69" s="19" t="s">
        <v>129</v>
      </c>
      <c r="H69" s="20" t="s">
        <v>373</v>
      </c>
      <c r="I69" s="20" t="s">
        <v>382</v>
      </c>
      <c r="J69" s="22" t="s">
        <v>261</v>
      </c>
      <c r="K69" s="21"/>
      <c r="L69" s="21" t="str">
        <f>"255,0"</f>
        <v>255,0</v>
      </c>
      <c r="M69" s="21" t="str">
        <f>"151,0620"</f>
        <v>151,0620</v>
      </c>
      <c r="N69" s="19" t="s">
        <v>387</v>
      </c>
    </row>
    <row r="70" spans="1:14" ht="12.75">
      <c r="A70" s="17" t="s">
        <v>547</v>
      </c>
      <c r="B70" s="15" t="s">
        <v>166</v>
      </c>
      <c r="C70" s="15" t="s">
        <v>167</v>
      </c>
      <c r="D70" s="15" t="s">
        <v>168</v>
      </c>
      <c r="E70" s="15" t="str">
        <f>"0,6064"</f>
        <v>0,6064</v>
      </c>
      <c r="F70" s="15" t="s">
        <v>20</v>
      </c>
      <c r="G70" s="15" t="s">
        <v>37</v>
      </c>
      <c r="H70" s="18" t="s">
        <v>124</v>
      </c>
      <c r="I70" s="18" t="s">
        <v>98</v>
      </c>
      <c r="J70" s="16" t="s">
        <v>125</v>
      </c>
      <c r="K70" s="17"/>
      <c r="L70" s="17" t="str">
        <f>"175,0"</f>
        <v>175,0</v>
      </c>
      <c r="M70" s="17" t="str">
        <f>"106,1200"</f>
        <v>106,1200</v>
      </c>
      <c r="N70" s="15" t="s">
        <v>31</v>
      </c>
    </row>
    <row r="71" ht="12.75">
      <c r="B71" s="5" t="s">
        <v>32</v>
      </c>
    </row>
    <row r="72" spans="2:6" ht="15">
      <c r="B72" s="5" t="s">
        <v>32</v>
      </c>
      <c r="F72" s="23"/>
    </row>
    <row r="73" ht="12.75">
      <c r="B73" s="5" t="s">
        <v>32</v>
      </c>
    </row>
    <row r="74" spans="2:4" ht="18">
      <c r="B74" s="5" t="s">
        <v>32</v>
      </c>
      <c r="C74" s="24" t="s">
        <v>175</v>
      </c>
      <c r="D74" s="24"/>
    </row>
    <row r="75" spans="2:4" ht="15">
      <c r="B75" s="5" t="s">
        <v>32</v>
      </c>
      <c r="C75" s="43" t="s">
        <v>176</v>
      </c>
      <c r="D75" s="43"/>
    </row>
    <row r="76" spans="2:4" ht="14.25">
      <c r="B76" s="5" t="s">
        <v>32</v>
      </c>
      <c r="C76" s="25"/>
      <c r="D76" s="25" t="s">
        <v>177</v>
      </c>
    </row>
    <row r="77" spans="2:7" ht="15">
      <c r="B77" s="5" t="s">
        <v>32</v>
      </c>
      <c r="C77" s="4" t="s">
        <v>178</v>
      </c>
      <c r="D77" s="4" t="s">
        <v>179</v>
      </c>
      <c r="E77" s="4" t="s">
        <v>180</v>
      </c>
      <c r="F77" s="4" t="s">
        <v>181</v>
      </c>
      <c r="G77" s="4" t="s">
        <v>182</v>
      </c>
    </row>
    <row r="78" spans="2:7" ht="12.75">
      <c r="B78" s="5" t="s">
        <v>32</v>
      </c>
      <c r="C78" s="5" t="s">
        <v>715</v>
      </c>
      <c r="D78" s="5" t="s">
        <v>177</v>
      </c>
      <c r="E78" s="6" t="s">
        <v>185</v>
      </c>
      <c r="F78" s="6" t="s">
        <v>88</v>
      </c>
      <c r="G78" s="6" t="s">
        <v>772</v>
      </c>
    </row>
    <row r="79" spans="2:7" ht="12.75">
      <c r="B79" s="5" t="s">
        <v>32</v>
      </c>
      <c r="C79" s="5" t="s">
        <v>717</v>
      </c>
      <c r="D79" s="5" t="s">
        <v>177</v>
      </c>
      <c r="E79" s="6" t="s">
        <v>185</v>
      </c>
      <c r="F79" s="6" t="s">
        <v>63</v>
      </c>
      <c r="G79" s="6" t="s">
        <v>773</v>
      </c>
    </row>
    <row r="80" spans="2:7" ht="12.75">
      <c r="B80" s="5" t="s">
        <v>32</v>
      </c>
      <c r="C80" s="5" t="s">
        <v>712</v>
      </c>
      <c r="D80" s="5" t="s">
        <v>177</v>
      </c>
      <c r="E80" s="6" t="s">
        <v>52</v>
      </c>
      <c r="F80" s="6" t="s">
        <v>50</v>
      </c>
      <c r="G80" s="6" t="s">
        <v>774</v>
      </c>
    </row>
    <row r="81" ht="12.75">
      <c r="B81" s="5" t="s">
        <v>32</v>
      </c>
    </row>
    <row r="82" ht="12.75">
      <c r="B82" s="5" t="s">
        <v>32</v>
      </c>
    </row>
    <row r="83" spans="2:4" ht="15">
      <c r="B83" s="5" t="s">
        <v>32</v>
      </c>
      <c r="C83" s="43" t="s">
        <v>190</v>
      </c>
      <c r="D83" s="43"/>
    </row>
    <row r="84" ht="12.75">
      <c r="B84" s="5" t="s">
        <v>32</v>
      </c>
    </row>
    <row r="85" spans="2:4" ht="14.25">
      <c r="B85" s="5" t="s">
        <v>32</v>
      </c>
      <c r="C85" s="25"/>
      <c r="D85" s="25" t="s">
        <v>177</v>
      </c>
    </row>
    <row r="86" spans="2:7" ht="15">
      <c r="B86" s="5" t="s">
        <v>32</v>
      </c>
      <c r="C86" s="4" t="s">
        <v>178</v>
      </c>
      <c r="D86" s="4" t="s">
        <v>179</v>
      </c>
      <c r="E86" s="4" t="s">
        <v>180</v>
      </c>
      <c r="F86" s="4" t="s">
        <v>181</v>
      </c>
      <c r="G86" s="4" t="s">
        <v>182</v>
      </c>
    </row>
    <row r="87" spans="2:7" ht="12.75">
      <c r="B87" s="5" t="s">
        <v>32</v>
      </c>
      <c r="C87" s="5" t="s">
        <v>85</v>
      </c>
      <c r="D87" s="5" t="s">
        <v>177</v>
      </c>
      <c r="E87" s="6" t="s">
        <v>185</v>
      </c>
      <c r="F87" s="6" t="s">
        <v>91</v>
      </c>
      <c r="G87" s="6" t="s">
        <v>775</v>
      </c>
    </row>
    <row r="88" spans="2:7" ht="12.75">
      <c r="B88" s="5" t="s">
        <v>32</v>
      </c>
      <c r="C88" s="5" t="s">
        <v>743</v>
      </c>
      <c r="D88" s="5" t="s">
        <v>177</v>
      </c>
      <c r="E88" s="6" t="s">
        <v>24</v>
      </c>
      <c r="F88" s="6" t="s">
        <v>321</v>
      </c>
      <c r="G88" s="6" t="s">
        <v>776</v>
      </c>
    </row>
    <row r="89" spans="2:7" ht="12.75">
      <c r="B89" s="5" t="s">
        <v>32</v>
      </c>
      <c r="C89" s="5" t="s">
        <v>760</v>
      </c>
      <c r="D89" s="5" t="s">
        <v>177</v>
      </c>
      <c r="E89" s="6" t="s">
        <v>43</v>
      </c>
      <c r="F89" s="6" t="s">
        <v>261</v>
      </c>
      <c r="G89" s="6" t="s">
        <v>777</v>
      </c>
    </row>
    <row r="90" ht="12.75">
      <c r="B90" s="5" t="s">
        <v>32</v>
      </c>
    </row>
    <row r="91" ht="12.75">
      <c r="B91" s="5" t="s">
        <v>32</v>
      </c>
    </row>
  </sheetData>
  <sheetProtection/>
  <mergeCells count="24">
    <mergeCell ref="N3:N4"/>
    <mergeCell ref="A5:M5"/>
    <mergeCell ref="A9:M9"/>
    <mergeCell ref="A1:N2"/>
    <mergeCell ref="A3:A4"/>
    <mergeCell ref="C3:C4"/>
    <mergeCell ref="D3:D4"/>
    <mergeCell ref="E3:E4"/>
    <mergeCell ref="F3:F4"/>
    <mergeCell ref="G3:G4"/>
    <mergeCell ref="H3:K3"/>
    <mergeCell ref="A43:M43"/>
    <mergeCell ref="A51:M51"/>
    <mergeCell ref="A58:M58"/>
    <mergeCell ref="A65:M65"/>
    <mergeCell ref="B3:B4"/>
    <mergeCell ref="A12:M12"/>
    <mergeCell ref="A18:M18"/>
    <mergeCell ref="A22:M22"/>
    <mergeCell ref="A26:M26"/>
    <mergeCell ref="A29:M29"/>
    <mergeCell ref="A34:M34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7"/>
  <sheetViews>
    <sheetView zoomScale="84" zoomScaleNormal="84" zoomScalePageLayoutView="0" workbookViewId="0" topLeftCell="A1">
      <selection activeCell="Q52" sqref="Q52"/>
    </sheetView>
  </sheetViews>
  <sheetFormatPr defaultColWidth="9.125" defaultRowHeight="12.75"/>
  <cols>
    <col min="1" max="1" width="7.375" style="6" bestFit="1" customWidth="1"/>
    <col min="2" max="2" width="21.75390625" style="5" bestFit="1" customWidth="1"/>
    <col min="3" max="3" width="27.87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6.00390625" style="5" customWidth="1"/>
    <col min="8" max="10" width="6.375" style="6" customWidth="1"/>
    <col min="11" max="11" width="6.75390625" style="6" customWidth="1"/>
    <col min="12" max="12" width="11.25390625" style="6" bestFit="1" customWidth="1"/>
    <col min="13" max="13" width="8.625" style="6" bestFit="1" customWidth="1"/>
    <col min="14" max="14" width="29.375" style="5" bestFit="1" customWidth="1"/>
    <col min="15" max="16384" width="9.125" style="3" customWidth="1"/>
  </cols>
  <sheetData>
    <row r="1" spans="1:14" s="2" customFormat="1" ht="28.5" customHeight="1">
      <c r="A1" s="55" t="s">
        <v>778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10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15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0" t="s">
        <v>16</v>
      </c>
      <c r="B6" s="7" t="s">
        <v>779</v>
      </c>
      <c r="C6" s="7" t="s">
        <v>780</v>
      </c>
      <c r="D6" s="7" t="s">
        <v>781</v>
      </c>
      <c r="E6" s="7" t="str">
        <f>"1,3553"</f>
        <v>1,3553</v>
      </c>
      <c r="F6" s="7" t="s">
        <v>20</v>
      </c>
      <c r="G6" s="7" t="s">
        <v>233</v>
      </c>
      <c r="H6" s="9" t="s">
        <v>61</v>
      </c>
      <c r="I6" s="9" t="s">
        <v>62</v>
      </c>
      <c r="J6" s="8" t="s">
        <v>63</v>
      </c>
      <c r="K6" s="10"/>
      <c r="L6" s="10" t="str">
        <f>"135,0"</f>
        <v>135,0</v>
      </c>
      <c r="M6" s="10" t="str">
        <f>"182,9655"</f>
        <v>182,9655</v>
      </c>
      <c r="N6" s="7" t="s">
        <v>31</v>
      </c>
    </row>
    <row r="7" ht="12.75">
      <c r="B7" s="5" t="s">
        <v>32</v>
      </c>
    </row>
    <row r="8" spans="1:13" ht="15">
      <c r="A8" s="45" t="s">
        <v>33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2.75">
      <c r="A9" s="14" t="s">
        <v>16</v>
      </c>
      <c r="B9" s="11" t="s">
        <v>207</v>
      </c>
      <c r="C9" s="11" t="s">
        <v>208</v>
      </c>
      <c r="D9" s="11" t="s">
        <v>209</v>
      </c>
      <c r="E9" s="11" t="str">
        <f>"1,2560"</f>
        <v>1,2560</v>
      </c>
      <c r="F9" s="11" t="s">
        <v>20</v>
      </c>
      <c r="G9" s="11" t="s">
        <v>37</v>
      </c>
      <c r="H9" s="13" t="s">
        <v>49</v>
      </c>
      <c r="I9" s="13" t="s">
        <v>50</v>
      </c>
      <c r="J9" s="12" t="s">
        <v>73</v>
      </c>
      <c r="K9" s="14"/>
      <c r="L9" s="14" t="str">
        <f>"122,5"</f>
        <v>122,5</v>
      </c>
      <c r="M9" s="14" t="str">
        <f>"153,8600"</f>
        <v>153,8600</v>
      </c>
      <c r="N9" s="11" t="s">
        <v>92</v>
      </c>
    </row>
    <row r="10" spans="1:14" ht="12.75">
      <c r="A10" s="21" t="s">
        <v>56</v>
      </c>
      <c r="B10" s="19" t="s">
        <v>210</v>
      </c>
      <c r="C10" s="19" t="s">
        <v>211</v>
      </c>
      <c r="D10" s="19" t="s">
        <v>212</v>
      </c>
      <c r="E10" s="19" t="str">
        <f>"1,2597"</f>
        <v>1,2597</v>
      </c>
      <c r="F10" s="19" t="s">
        <v>20</v>
      </c>
      <c r="G10" s="19" t="s">
        <v>37</v>
      </c>
      <c r="H10" s="22" t="s">
        <v>60</v>
      </c>
      <c r="I10" s="20" t="s">
        <v>60</v>
      </c>
      <c r="J10" s="20" t="s">
        <v>49</v>
      </c>
      <c r="K10" s="21"/>
      <c r="L10" s="21" t="str">
        <f>"115,0"</f>
        <v>115,0</v>
      </c>
      <c r="M10" s="21" t="str">
        <f>"144,8655"</f>
        <v>144,8655</v>
      </c>
      <c r="N10" s="19" t="s">
        <v>215</v>
      </c>
    </row>
    <row r="11" spans="1:14" ht="12.75">
      <c r="A11" s="21" t="s">
        <v>16</v>
      </c>
      <c r="B11" s="19" t="s">
        <v>782</v>
      </c>
      <c r="C11" s="19" t="s">
        <v>783</v>
      </c>
      <c r="D11" s="19" t="s">
        <v>36</v>
      </c>
      <c r="E11" s="19" t="str">
        <f>"1,2485"</f>
        <v>1,2485</v>
      </c>
      <c r="F11" s="19" t="s">
        <v>20</v>
      </c>
      <c r="G11" s="19" t="s">
        <v>379</v>
      </c>
      <c r="H11" s="20" t="s">
        <v>42</v>
      </c>
      <c r="I11" s="20" t="s">
        <v>43</v>
      </c>
      <c r="J11" s="20" t="s">
        <v>60</v>
      </c>
      <c r="K11" s="21"/>
      <c r="L11" s="21" t="str">
        <f>"105,0"</f>
        <v>105,0</v>
      </c>
      <c r="M11" s="21" t="str">
        <f>"131,0925"</f>
        <v>131,0925</v>
      </c>
      <c r="N11" s="19" t="s">
        <v>31</v>
      </c>
    </row>
    <row r="12" spans="1:14" ht="12.75">
      <c r="A12" s="17" t="s">
        <v>16</v>
      </c>
      <c r="B12" s="15" t="s">
        <v>207</v>
      </c>
      <c r="C12" s="15" t="s">
        <v>784</v>
      </c>
      <c r="D12" s="15" t="s">
        <v>209</v>
      </c>
      <c r="E12" s="15" t="str">
        <f>"1,2560"</f>
        <v>1,2560</v>
      </c>
      <c r="F12" s="15" t="s">
        <v>20</v>
      </c>
      <c r="G12" s="15" t="s">
        <v>37</v>
      </c>
      <c r="H12" s="18" t="s">
        <v>49</v>
      </c>
      <c r="I12" s="18" t="s">
        <v>50</v>
      </c>
      <c r="J12" s="16" t="s">
        <v>73</v>
      </c>
      <c r="K12" s="17"/>
      <c r="L12" s="17" t="str">
        <f>"122,5"</f>
        <v>122,5</v>
      </c>
      <c r="M12" s="17" t="str">
        <f>"153,8600"</f>
        <v>153,8600</v>
      </c>
      <c r="N12" s="15" t="s">
        <v>92</v>
      </c>
    </row>
    <row r="13" ht="12.75">
      <c r="B13" s="5" t="s">
        <v>32</v>
      </c>
    </row>
    <row r="14" spans="1:13" ht="15">
      <c r="A14" s="45" t="s">
        <v>218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ht="12.75">
      <c r="A15" s="10" t="s">
        <v>16</v>
      </c>
      <c r="B15" s="7" t="s">
        <v>598</v>
      </c>
      <c r="C15" s="7" t="s">
        <v>599</v>
      </c>
      <c r="D15" s="7" t="s">
        <v>476</v>
      </c>
      <c r="E15" s="7" t="str">
        <f>"1,1766"</f>
        <v>1,1766</v>
      </c>
      <c r="F15" s="7" t="s">
        <v>20</v>
      </c>
      <c r="G15" s="7" t="s">
        <v>37</v>
      </c>
      <c r="H15" s="9" t="s">
        <v>785</v>
      </c>
      <c r="I15" s="9" t="s">
        <v>185</v>
      </c>
      <c r="J15" s="9" t="s">
        <v>22</v>
      </c>
      <c r="K15" s="10"/>
      <c r="L15" s="10" t="str">
        <f>"72,5"</f>
        <v>72,5</v>
      </c>
      <c r="M15" s="10" t="str">
        <f>"85,3035"</f>
        <v>85,3035</v>
      </c>
      <c r="N15" s="7" t="s">
        <v>31</v>
      </c>
    </row>
    <row r="16" ht="12.75">
      <c r="B16" s="5" t="s">
        <v>32</v>
      </c>
    </row>
    <row r="17" spans="1:13" ht="15">
      <c r="A17" s="45" t="s">
        <v>80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ht="12.75">
      <c r="A18" s="10" t="s">
        <v>16</v>
      </c>
      <c r="B18" s="7" t="s">
        <v>397</v>
      </c>
      <c r="C18" s="7" t="s">
        <v>398</v>
      </c>
      <c r="D18" s="7" t="s">
        <v>399</v>
      </c>
      <c r="E18" s="7" t="str">
        <f>"1,1386"</f>
        <v>1,1386</v>
      </c>
      <c r="F18" s="7" t="s">
        <v>69</v>
      </c>
      <c r="G18" s="7" t="s">
        <v>21</v>
      </c>
      <c r="H18" s="9" t="s">
        <v>105</v>
      </c>
      <c r="I18" s="9" t="s">
        <v>162</v>
      </c>
      <c r="J18" s="9" t="s">
        <v>281</v>
      </c>
      <c r="K18" s="10"/>
      <c r="L18" s="10" t="str">
        <f>"177,5"</f>
        <v>177,5</v>
      </c>
      <c r="M18" s="10" t="str">
        <f>"202,1015"</f>
        <v>202,1015</v>
      </c>
      <c r="N18" s="7" t="s">
        <v>64</v>
      </c>
    </row>
    <row r="19" ht="12.75">
      <c r="B19" s="5" t="s">
        <v>32</v>
      </c>
    </row>
    <row r="20" spans="1:13" ht="15">
      <c r="A20" s="45" t="s">
        <v>33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4" ht="12.75">
      <c r="A21" s="10" t="s">
        <v>16</v>
      </c>
      <c r="B21" s="7" t="s">
        <v>786</v>
      </c>
      <c r="C21" s="7" t="s">
        <v>787</v>
      </c>
      <c r="D21" s="7" t="s">
        <v>788</v>
      </c>
      <c r="E21" s="7" t="str">
        <f>"1,1846"</f>
        <v>1,1846</v>
      </c>
      <c r="F21" s="7" t="s">
        <v>20</v>
      </c>
      <c r="G21" s="7" t="s">
        <v>129</v>
      </c>
      <c r="H21" s="9" t="s">
        <v>51</v>
      </c>
      <c r="I21" s="9" t="s">
        <v>785</v>
      </c>
      <c r="J21" s="9" t="s">
        <v>38</v>
      </c>
      <c r="K21" s="10"/>
      <c r="L21" s="10" t="str">
        <f>"70,0"</f>
        <v>70,0</v>
      </c>
      <c r="M21" s="10" t="str">
        <f>"82,9220"</f>
        <v>82,9220</v>
      </c>
      <c r="N21" s="7" t="s">
        <v>31</v>
      </c>
    </row>
    <row r="22" ht="12.75">
      <c r="B22" s="5" t="s">
        <v>32</v>
      </c>
    </row>
    <row r="23" spans="1:13" ht="15">
      <c r="A23" s="45" t="s">
        <v>44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4" ht="12.75">
      <c r="A24" s="10" t="s">
        <v>16</v>
      </c>
      <c r="B24" s="7" t="s">
        <v>789</v>
      </c>
      <c r="C24" s="7" t="s">
        <v>790</v>
      </c>
      <c r="D24" s="7" t="s">
        <v>495</v>
      </c>
      <c r="E24" s="7" t="str">
        <f>"0,7756"</f>
        <v>0,7756</v>
      </c>
      <c r="F24" s="7" t="s">
        <v>20</v>
      </c>
      <c r="G24" s="7" t="s">
        <v>37</v>
      </c>
      <c r="H24" s="9" t="s">
        <v>253</v>
      </c>
      <c r="I24" s="9" t="s">
        <v>308</v>
      </c>
      <c r="J24" s="9" t="s">
        <v>309</v>
      </c>
      <c r="K24" s="10"/>
      <c r="L24" s="10" t="str">
        <f>"232,5"</f>
        <v>232,5</v>
      </c>
      <c r="M24" s="10" t="str">
        <f>"180,3270"</f>
        <v>180,3270</v>
      </c>
      <c r="N24" s="7" t="s">
        <v>31</v>
      </c>
    </row>
    <row r="25" ht="12.75">
      <c r="B25" s="5" t="s">
        <v>32</v>
      </c>
    </row>
    <row r="26" spans="1:13" ht="15">
      <c r="A26" s="45" t="s">
        <v>93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4" ht="12.75">
      <c r="A27" s="14" t="s">
        <v>16</v>
      </c>
      <c r="B27" s="11" t="s">
        <v>791</v>
      </c>
      <c r="C27" s="11" t="s">
        <v>792</v>
      </c>
      <c r="D27" s="11" t="s">
        <v>793</v>
      </c>
      <c r="E27" s="11" t="str">
        <f>"0,7414"</f>
        <v>0,7414</v>
      </c>
      <c r="F27" s="34" t="s">
        <v>20</v>
      </c>
      <c r="G27" s="11" t="s">
        <v>37</v>
      </c>
      <c r="H27" s="37" t="s">
        <v>291</v>
      </c>
      <c r="I27" s="13" t="s">
        <v>688</v>
      </c>
      <c r="J27" s="13" t="s">
        <v>321</v>
      </c>
      <c r="K27" s="13" t="s">
        <v>300</v>
      </c>
      <c r="L27" s="14" t="str">
        <f>"250,0"</f>
        <v>250,0</v>
      </c>
      <c r="M27" s="14" t="str">
        <f>"185,3500"</f>
        <v>185,3500</v>
      </c>
      <c r="N27" s="11" t="s">
        <v>31</v>
      </c>
    </row>
    <row r="28" spans="1:14" ht="12.75">
      <c r="A28" s="21" t="s">
        <v>56</v>
      </c>
      <c r="B28" s="19" t="s">
        <v>794</v>
      </c>
      <c r="C28" s="19" t="s">
        <v>795</v>
      </c>
      <c r="D28" s="19" t="s">
        <v>796</v>
      </c>
      <c r="E28" s="19" t="str">
        <f>"0,7152"</f>
        <v>0,7152</v>
      </c>
      <c r="F28" s="35" t="s">
        <v>20</v>
      </c>
      <c r="G28" s="19" t="s">
        <v>37</v>
      </c>
      <c r="H28" s="38" t="s">
        <v>173</v>
      </c>
      <c r="I28" s="22" t="s">
        <v>163</v>
      </c>
      <c r="J28" s="20" t="s">
        <v>321</v>
      </c>
      <c r="K28" s="21"/>
      <c r="L28" s="21" t="str">
        <f>"250,0"</f>
        <v>250,0</v>
      </c>
      <c r="M28" s="21" t="str">
        <f>"178,8000"</f>
        <v>178,8000</v>
      </c>
      <c r="N28" s="19" t="s">
        <v>31</v>
      </c>
    </row>
    <row r="29" spans="1:14" ht="12.75">
      <c r="A29" s="21" t="s">
        <v>65</v>
      </c>
      <c r="B29" s="19" t="s">
        <v>797</v>
      </c>
      <c r="C29" s="19" t="s">
        <v>798</v>
      </c>
      <c r="D29" s="19" t="s">
        <v>799</v>
      </c>
      <c r="E29" s="19" t="str">
        <f>"0,7330"</f>
        <v>0,7330</v>
      </c>
      <c r="F29" s="35" t="s">
        <v>20</v>
      </c>
      <c r="G29" s="19" t="s">
        <v>37</v>
      </c>
      <c r="H29" s="38" t="s">
        <v>161</v>
      </c>
      <c r="I29" s="20" t="s">
        <v>173</v>
      </c>
      <c r="J29" s="20" t="s">
        <v>163</v>
      </c>
      <c r="K29" s="21"/>
      <c r="L29" s="21" t="str">
        <f>"245,0"</f>
        <v>245,0</v>
      </c>
      <c r="M29" s="21" t="str">
        <f>"179,5850"</f>
        <v>179,5850</v>
      </c>
      <c r="N29" s="19" t="s">
        <v>31</v>
      </c>
    </row>
    <row r="30" spans="1:14" ht="12.75">
      <c r="A30" s="17" t="s">
        <v>16</v>
      </c>
      <c r="B30" s="15" t="s">
        <v>791</v>
      </c>
      <c r="C30" s="15" t="s">
        <v>800</v>
      </c>
      <c r="D30" s="15" t="s">
        <v>793</v>
      </c>
      <c r="E30" s="15" t="str">
        <f>"0,7414"</f>
        <v>0,7414</v>
      </c>
      <c r="F30" s="36" t="s">
        <v>20</v>
      </c>
      <c r="G30" s="15" t="s">
        <v>37</v>
      </c>
      <c r="H30" s="39" t="s">
        <v>291</v>
      </c>
      <c r="I30" s="18" t="s">
        <v>688</v>
      </c>
      <c r="J30" s="18" t="s">
        <v>321</v>
      </c>
      <c r="K30" s="18" t="s">
        <v>300</v>
      </c>
      <c r="L30" s="17" t="str">
        <f>"250,0"</f>
        <v>250,0</v>
      </c>
      <c r="M30" s="17" t="str">
        <f>"227,6098"</f>
        <v>227,6098</v>
      </c>
      <c r="N30" s="15" t="s">
        <v>31</v>
      </c>
    </row>
    <row r="31" ht="12.75">
      <c r="B31" s="5" t="s">
        <v>32</v>
      </c>
    </row>
    <row r="32" spans="1:13" ht="15">
      <c r="A32" s="45" t="s">
        <v>107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4" ht="12.75">
      <c r="A33" s="14" t="s">
        <v>16</v>
      </c>
      <c r="B33" s="11" t="s">
        <v>801</v>
      </c>
      <c r="C33" s="11" t="s">
        <v>802</v>
      </c>
      <c r="D33" s="11" t="s">
        <v>803</v>
      </c>
      <c r="E33" s="11" t="str">
        <f>"0,6785"</f>
        <v>0,6785</v>
      </c>
      <c r="F33" s="11" t="s">
        <v>20</v>
      </c>
      <c r="G33" s="11" t="s">
        <v>129</v>
      </c>
      <c r="H33" s="13" t="s">
        <v>118</v>
      </c>
      <c r="I33" s="13" t="s">
        <v>100</v>
      </c>
      <c r="J33" s="13" t="s">
        <v>161</v>
      </c>
      <c r="K33" s="14"/>
      <c r="L33" s="14" t="str">
        <f>"230,0"</f>
        <v>230,0</v>
      </c>
      <c r="M33" s="14" t="str">
        <f>"156,0550"</f>
        <v>156,0550</v>
      </c>
      <c r="N33" s="11" t="s">
        <v>804</v>
      </c>
    </row>
    <row r="34" spans="1:14" ht="12.75">
      <c r="A34" s="17" t="s">
        <v>16</v>
      </c>
      <c r="B34" s="15" t="s">
        <v>305</v>
      </c>
      <c r="C34" s="15" t="s">
        <v>306</v>
      </c>
      <c r="D34" s="15" t="s">
        <v>307</v>
      </c>
      <c r="E34" s="15" t="str">
        <f>"0,6827"</f>
        <v>0,6827</v>
      </c>
      <c r="F34" s="15" t="s">
        <v>20</v>
      </c>
      <c r="G34" s="15" t="s">
        <v>129</v>
      </c>
      <c r="H34" s="18" t="s">
        <v>253</v>
      </c>
      <c r="I34" s="18" t="s">
        <v>308</v>
      </c>
      <c r="J34" s="16" t="s">
        <v>309</v>
      </c>
      <c r="K34" s="17"/>
      <c r="L34" s="17" t="str">
        <f>"227,5"</f>
        <v>227,5</v>
      </c>
      <c r="M34" s="17" t="str">
        <f>"155,3142"</f>
        <v>155,3142</v>
      </c>
      <c r="N34" s="15" t="s">
        <v>31</v>
      </c>
    </row>
    <row r="35" ht="12.75">
      <c r="B35" s="5" t="s">
        <v>32</v>
      </c>
    </row>
    <row r="36" spans="1:13" ht="15">
      <c r="A36" s="45" t="s">
        <v>119</v>
      </c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4" ht="12.75">
      <c r="A37" s="14" t="s">
        <v>16</v>
      </c>
      <c r="B37" s="11" t="s">
        <v>805</v>
      </c>
      <c r="C37" s="11" t="s">
        <v>806</v>
      </c>
      <c r="D37" s="11" t="s">
        <v>362</v>
      </c>
      <c r="E37" s="11" t="str">
        <f>"0,6440"</f>
        <v>0,6440</v>
      </c>
      <c r="F37" s="11" t="s">
        <v>20</v>
      </c>
      <c r="G37" s="11" t="s">
        <v>37</v>
      </c>
      <c r="H37" s="13" t="s">
        <v>254</v>
      </c>
      <c r="I37" s="13" t="s">
        <v>321</v>
      </c>
      <c r="J37" s="13" t="s">
        <v>164</v>
      </c>
      <c r="K37" s="14"/>
      <c r="L37" s="14" t="str">
        <f>"260,0"</f>
        <v>260,0</v>
      </c>
      <c r="M37" s="14" t="str">
        <f>"167,4400"</f>
        <v>167,4400</v>
      </c>
      <c r="N37" s="11" t="s">
        <v>807</v>
      </c>
    </row>
    <row r="38" spans="1:14" ht="12.75">
      <c r="A38" s="17" t="s">
        <v>16</v>
      </c>
      <c r="B38" s="15" t="s">
        <v>808</v>
      </c>
      <c r="C38" s="15" t="s">
        <v>809</v>
      </c>
      <c r="D38" s="15" t="s">
        <v>249</v>
      </c>
      <c r="E38" s="15" t="str">
        <f>"0,6406"</f>
        <v>0,6406</v>
      </c>
      <c r="F38" s="15" t="s">
        <v>20</v>
      </c>
      <c r="G38" s="15" t="s">
        <v>233</v>
      </c>
      <c r="H38" s="18" t="s">
        <v>321</v>
      </c>
      <c r="I38" s="18" t="s">
        <v>261</v>
      </c>
      <c r="J38" s="16" t="s">
        <v>165</v>
      </c>
      <c r="K38" s="17"/>
      <c r="L38" s="17" t="str">
        <f>"265,0"</f>
        <v>265,0</v>
      </c>
      <c r="M38" s="17" t="str">
        <f>"244,4530"</f>
        <v>244,4530</v>
      </c>
      <c r="N38" s="15" t="s">
        <v>31</v>
      </c>
    </row>
    <row r="39" ht="12.75">
      <c r="B39" s="5" t="s">
        <v>32</v>
      </c>
    </row>
    <row r="40" spans="1:13" ht="15">
      <c r="A40" s="45" t="s">
        <v>145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4" ht="12.75">
      <c r="A41" s="14" t="s">
        <v>16</v>
      </c>
      <c r="B41" s="11" t="s">
        <v>810</v>
      </c>
      <c r="C41" s="11" t="s">
        <v>811</v>
      </c>
      <c r="D41" s="11" t="s">
        <v>812</v>
      </c>
      <c r="E41" s="11" t="str">
        <f>"0,6223"</f>
        <v>0,6223</v>
      </c>
      <c r="F41" s="11" t="s">
        <v>20</v>
      </c>
      <c r="G41" s="11" t="s">
        <v>37</v>
      </c>
      <c r="H41" s="13" t="s">
        <v>321</v>
      </c>
      <c r="I41" s="13" t="s">
        <v>261</v>
      </c>
      <c r="J41" s="13" t="s">
        <v>813</v>
      </c>
      <c r="K41" s="14"/>
      <c r="L41" s="14" t="str">
        <f>"272,5"</f>
        <v>272,5</v>
      </c>
      <c r="M41" s="14" t="str">
        <f>"169,5768"</f>
        <v>169,5768</v>
      </c>
      <c r="N41" s="11" t="s">
        <v>31</v>
      </c>
    </row>
    <row r="42" spans="1:14" ht="12.75">
      <c r="A42" s="21" t="s">
        <v>16</v>
      </c>
      <c r="B42" s="19" t="s">
        <v>814</v>
      </c>
      <c r="C42" s="19" t="s">
        <v>815</v>
      </c>
      <c r="D42" s="19" t="s">
        <v>566</v>
      </c>
      <c r="E42" s="19" t="str">
        <f>"0,6086"</f>
        <v>0,6086</v>
      </c>
      <c r="F42" s="19" t="s">
        <v>20</v>
      </c>
      <c r="G42" s="19" t="s">
        <v>37</v>
      </c>
      <c r="H42" s="20" t="s">
        <v>164</v>
      </c>
      <c r="I42" s="20" t="s">
        <v>813</v>
      </c>
      <c r="J42" s="22" t="s">
        <v>262</v>
      </c>
      <c r="K42" s="21"/>
      <c r="L42" s="21" t="str">
        <f>"272,5"</f>
        <v>272,5</v>
      </c>
      <c r="M42" s="21" t="str">
        <f>"165,8435"</f>
        <v>165,8435</v>
      </c>
      <c r="N42" s="19" t="s">
        <v>31</v>
      </c>
    </row>
    <row r="43" spans="1:14" ht="12.75">
      <c r="A43" s="21" t="s">
        <v>56</v>
      </c>
      <c r="B43" s="19" t="s">
        <v>816</v>
      </c>
      <c r="C43" s="19" t="s">
        <v>817</v>
      </c>
      <c r="D43" s="19" t="s">
        <v>818</v>
      </c>
      <c r="E43" s="19" t="str">
        <f>"0,6191"</f>
        <v>0,6191</v>
      </c>
      <c r="F43" s="19" t="s">
        <v>20</v>
      </c>
      <c r="G43" s="19" t="s">
        <v>37</v>
      </c>
      <c r="H43" s="20" t="s">
        <v>300</v>
      </c>
      <c r="I43" s="20" t="s">
        <v>409</v>
      </c>
      <c r="J43" s="22" t="s">
        <v>813</v>
      </c>
      <c r="K43" s="21"/>
      <c r="L43" s="21" t="str">
        <f>"262,5"</f>
        <v>262,5</v>
      </c>
      <c r="M43" s="21" t="str">
        <f>"162,5137"</f>
        <v>162,5137</v>
      </c>
      <c r="N43" s="19" t="s">
        <v>31</v>
      </c>
    </row>
    <row r="44" spans="1:14" ht="12.75">
      <c r="A44" s="21" t="s">
        <v>65</v>
      </c>
      <c r="B44" s="19" t="s">
        <v>819</v>
      </c>
      <c r="C44" s="19" t="s">
        <v>820</v>
      </c>
      <c r="D44" s="19" t="s">
        <v>821</v>
      </c>
      <c r="E44" s="19" t="str">
        <f>"0,6116"</f>
        <v>0,6116</v>
      </c>
      <c r="F44" s="19" t="s">
        <v>20</v>
      </c>
      <c r="G44" s="19" t="s">
        <v>226</v>
      </c>
      <c r="H44" s="20" t="s">
        <v>321</v>
      </c>
      <c r="I44" s="22" t="s">
        <v>409</v>
      </c>
      <c r="J44" s="20" t="s">
        <v>409</v>
      </c>
      <c r="K44" s="21"/>
      <c r="L44" s="21" t="str">
        <f>"262,5"</f>
        <v>262,5</v>
      </c>
      <c r="M44" s="21" t="str">
        <f>"160,5450"</f>
        <v>160,5450</v>
      </c>
      <c r="N44" s="19" t="s">
        <v>31</v>
      </c>
    </row>
    <row r="45" spans="1:14" ht="12.75">
      <c r="A45" s="17" t="s">
        <v>74</v>
      </c>
      <c r="B45" s="15" t="s">
        <v>413</v>
      </c>
      <c r="C45" s="15" t="s">
        <v>414</v>
      </c>
      <c r="D45" s="15" t="s">
        <v>415</v>
      </c>
      <c r="E45" s="15" t="str">
        <f>"0,6232"</f>
        <v>0,6232</v>
      </c>
      <c r="F45" s="15" t="s">
        <v>378</v>
      </c>
      <c r="G45" s="15" t="s">
        <v>379</v>
      </c>
      <c r="H45" s="18" t="s">
        <v>173</v>
      </c>
      <c r="I45" s="18" t="s">
        <v>321</v>
      </c>
      <c r="J45" s="16" t="s">
        <v>165</v>
      </c>
      <c r="K45" s="17"/>
      <c r="L45" s="17" t="str">
        <f>"250,0"</f>
        <v>250,0</v>
      </c>
      <c r="M45" s="17" t="str">
        <f>"155,8000"</f>
        <v>155,8000</v>
      </c>
      <c r="N45" s="15" t="s">
        <v>31</v>
      </c>
    </row>
    <row r="46" ht="12.75">
      <c r="B46" s="5" t="s">
        <v>32</v>
      </c>
    </row>
    <row r="47" spans="1:13" ht="15">
      <c r="A47" s="45" t="s">
        <v>156</v>
      </c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4" ht="12.75">
      <c r="A48" s="14" t="s">
        <v>16</v>
      </c>
      <c r="B48" s="11" t="s">
        <v>822</v>
      </c>
      <c r="C48" s="11" t="s">
        <v>823</v>
      </c>
      <c r="D48" s="11" t="s">
        <v>824</v>
      </c>
      <c r="E48" s="11" t="str">
        <f>"0,6026"</f>
        <v>0,6026</v>
      </c>
      <c r="F48" s="11" t="s">
        <v>20</v>
      </c>
      <c r="G48" s="11" t="s">
        <v>233</v>
      </c>
      <c r="H48" s="13" t="s">
        <v>165</v>
      </c>
      <c r="I48" s="13" t="s">
        <v>263</v>
      </c>
      <c r="J48" s="12" t="s">
        <v>825</v>
      </c>
      <c r="K48" s="14"/>
      <c r="L48" s="14" t="str">
        <f>"285,0"</f>
        <v>285,0</v>
      </c>
      <c r="M48" s="14" t="str">
        <f>"171,7410"</f>
        <v>171,7410</v>
      </c>
      <c r="N48" s="11" t="s">
        <v>31</v>
      </c>
    </row>
    <row r="49" spans="1:14" ht="12.75">
      <c r="A49" s="21" t="s">
        <v>56</v>
      </c>
      <c r="B49" s="19" t="s">
        <v>826</v>
      </c>
      <c r="C49" s="19" t="s">
        <v>827</v>
      </c>
      <c r="D49" s="19" t="s">
        <v>390</v>
      </c>
      <c r="E49" s="19" t="str">
        <f>"0,5950"</f>
        <v>0,5950</v>
      </c>
      <c r="F49" s="19" t="s">
        <v>20</v>
      </c>
      <c r="G49" s="19" t="s">
        <v>129</v>
      </c>
      <c r="H49" s="20" t="s">
        <v>173</v>
      </c>
      <c r="I49" s="20" t="s">
        <v>164</v>
      </c>
      <c r="J49" s="22" t="s">
        <v>262</v>
      </c>
      <c r="K49" s="21"/>
      <c r="L49" s="21" t="str">
        <f>"260,0"</f>
        <v>260,0</v>
      </c>
      <c r="M49" s="21" t="str">
        <f>"154,7000"</f>
        <v>154,7000</v>
      </c>
      <c r="N49" s="19" t="s">
        <v>31</v>
      </c>
    </row>
    <row r="50" spans="1:14" ht="12.75">
      <c r="A50" s="17" t="s">
        <v>65</v>
      </c>
      <c r="B50" s="15" t="s">
        <v>828</v>
      </c>
      <c r="C50" s="15" t="s">
        <v>829</v>
      </c>
      <c r="D50" s="15" t="s">
        <v>830</v>
      </c>
      <c r="E50" s="15" t="str">
        <f>"0,5945"</f>
        <v>0,5945</v>
      </c>
      <c r="F50" s="15" t="s">
        <v>20</v>
      </c>
      <c r="G50" s="15" t="s">
        <v>37</v>
      </c>
      <c r="H50" s="18" t="s">
        <v>253</v>
      </c>
      <c r="I50" s="18" t="s">
        <v>161</v>
      </c>
      <c r="J50" s="18" t="s">
        <v>373</v>
      </c>
      <c r="K50" s="17"/>
      <c r="L50" s="17" t="str">
        <f>"247,5"</f>
        <v>247,5</v>
      </c>
      <c r="M50" s="17" t="str">
        <f>"147,1388"</f>
        <v>147,1388</v>
      </c>
      <c r="N50" s="15" t="s">
        <v>31</v>
      </c>
    </row>
    <row r="51" ht="12.75">
      <c r="B51" s="5" t="s">
        <v>32</v>
      </c>
    </row>
    <row r="52" spans="1:13" ht="15">
      <c r="A52" s="45" t="s">
        <v>169</v>
      </c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4" ht="12.75">
      <c r="A53" s="10" t="s">
        <v>16</v>
      </c>
      <c r="B53" s="7" t="s">
        <v>831</v>
      </c>
      <c r="C53" s="7" t="s">
        <v>832</v>
      </c>
      <c r="D53" s="7" t="s">
        <v>833</v>
      </c>
      <c r="E53" s="7" t="str">
        <f>"0,5728"</f>
        <v>0,5728</v>
      </c>
      <c r="F53" s="7" t="s">
        <v>20</v>
      </c>
      <c r="G53" s="7" t="s">
        <v>37</v>
      </c>
      <c r="H53" s="9" t="s">
        <v>328</v>
      </c>
      <c r="I53" s="9" t="s">
        <v>329</v>
      </c>
      <c r="J53" s="8" t="s">
        <v>330</v>
      </c>
      <c r="K53" s="10"/>
      <c r="L53" s="10" t="str">
        <f>"335,0"</f>
        <v>335,0</v>
      </c>
      <c r="M53" s="10" t="str">
        <f>"191,8880"</f>
        <v>191,8880</v>
      </c>
      <c r="N53" s="7" t="s">
        <v>834</v>
      </c>
    </row>
    <row r="54" ht="12.75">
      <c r="B54" s="5" t="s">
        <v>32</v>
      </c>
    </row>
    <row r="55" spans="1:13" ht="15">
      <c r="A55" s="45" t="s">
        <v>347</v>
      </c>
      <c r="B55" s="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1:14" ht="12.75">
      <c r="A56" s="10" t="s">
        <v>16</v>
      </c>
      <c r="B56" s="7" t="s">
        <v>835</v>
      </c>
      <c r="C56" s="7" t="s">
        <v>836</v>
      </c>
      <c r="D56" s="7" t="s">
        <v>837</v>
      </c>
      <c r="E56" s="7" t="str">
        <f>"0,5685"</f>
        <v>0,5685</v>
      </c>
      <c r="F56" s="7" t="s">
        <v>20</v>
      </c>
      <c r="G56" s="7" t="s">
        <v>129</v>
      </c>
      <c r="H56" s="9" t="s">
        <v>125</v>
      </c>
      <c r="I56" s="9" t="s">
        <v>118</v>
      </c>
      <c r="J56" s="8" t="s">
        <v>149</v>
      </c>
      <c r="K56" s="10"/>
      <c r="L56" s="10" t="str">
        <f>"200,0"</f>
        <v>200,0</v>
      </c>
      <c r="M56" s="10" t="str">
        <f>"113,7000"</f>
        <v>113,7000</v>
      </c>
      <c r="N56" s="7" t="s">
        <v>31</v>
      </c>
    </row>
    <row r="57" ht="12.75">
      <c r="B57" s="5" t="s">
        <v>32</v>
      </c>
    </row>
    <row r="58" spans="2:3" ht="18">
      <c r="B58" s="5" t="s">
        <v>32</v>
      </c>
      <c r="C58" s="24" t="s">
        <v>838</v>
      </c>
    </row>
    <row r="59" spans="2:4" ht="15">
      <c r="B59" s="5" t="s">
        <v>32</v>
      </c>
      <c r="C59" s="43" t="s">
        <v>190</v>
      </c>
      <c r="D59" s="43"/>
    </row>
    <row r="60" ht="12.75">
      <c r="B60" s="5" t="s">
        <v>32</v>
      </c>
    </row>
    <row r="61" spans="2:4" ht="14.25">
      <c r="B61" s="5" t="s">
        <v>32</v>
      </c>
      <c r="C61" s="25"/>
      <c r="D61" s="25" t="s">
        <v>177</v>
      </c>
    </row>
    <row r="62" spans="2:7" ht="15">
      <c r="B62" s="5" t="s">
        <v>32</v>
      </c>
      <c r="C62" s="4" t="s">
        <v>178</v>
      </c>
      <c r="D62" s="4" t="s">
        <v>179</v>
      </c>
      <c r="E62" s="4" t="s">
        <v>180</v>
      </c>
      <c r="F62" s="4" t="s">
        <v>181</v>
      </c>
      <c r="G62" s="4" t="s">
        <v>182</v>
      </c>
    </row>
    <row r="63" spans="2:7" ht="12.75">
      <c r="B63" s="5" t="s">
        <v>32</v>
      </c>
      <c r="C63" s="5" t="s">
        <v>831</v>
      </c>
      <c r="D63" s="5" t="s">
        <v>177</v>
      </c>
      <c r="E63" s="6" t="s">
        <v>61</v>
      </c>
      <c r="F63" s="6" t="s">
        <v>329</v>
      </c>
      <c r="G63" s="6" t="s">
        <v>839</v>
      </c>
    </row>
    <row r="64" spans="2:7" ht="12.75">
      <c r="B64" s="5" t="s">
        <v>32</v>
      </c>
      <c r="C64" s="5" t="s">
        <v>791</v>
      </c>
      <c r="D64" s="5" t="s">
        <v>177</v>
      </c>
      <c r="E64" s="6" t="s">
        <v>84</v>
      </c>
      <c r="F64" s="6" t="s">
        <v>321</v>
      </c>
      <c r="G64" s="6" t="s">
        <v>840</v>
      </c>
    </row>
    <row r="65" spans="2:7" ht="12.75">
      <c r="B65" s="5" t="s">
        <v>32</v>
      </c>
      <c r="C65" s="5" t="s">
        <v>789</v>
      </c>
      <c r="D65" s="5" t="s">
        <v>177</v>
      </c>
      <c r="E65" s="6" t="s">
        <v>185</v>
      </c>
      <c r="F65" s="6" t="s">
        <v>309</v>
      </c>
      <c r="G65" s="6" t="s">
        <v>841</v>
      </c>
    </row>
    <row r="66" ht="12.75">
      <c r="B66" s="5" t="s">
        <v>32</v>
      </c>
    </row>
    <row r="67" ht="12.75">
      <c r="B67" s="5" t="s">
        <v>32</v>
      </c>
    </row>
  </sheetData>
  <sheetProtection/>
  <mergeCells count="25">
    <mergeCell ref="N3:N4"/>
    <mergeCell ref="A5:M5"/>
    <mergeCell ref="A8:M8"/>
    <mergeCell ref="A14:M14"/>
    <mergeCell ref="A1:N2"/>
    <mergeCell ref="A3:A4"/>
    <mergeCell ref="C3:C4"/>
    <mergeCell ref="D3:D4"/>
    <mergeCell ref="E3:E4"/>
    <mergeCell ref="F3:F4"/>
    <mergeCell ref="G3:G4"/>
    <mergeCell ref="H3:K3"/>
    <mergeCell ref="A40:M40"/>
    <mergeCell ref="A47:M47"/>
    <mergeCell ref="A52:M52"/>
    <mergeCell ref="A55:M55"/>
    <mergeCell ref="B3:B4"/>
    <mergeCell ref="A17:M17"/>
    <mergeCell ref="A20:M20"/>
    <mergeCell ref="A23:M23"/>
    <mergeCell ref="A26:M26"/>
    <mergeCell ref="A32:M32"/>
    <mergeCell ref="A36:M36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19" sqref="D19"/>
    </sheetView>
  </sheetViews>
  <sheetFormatPr defaultColWidth="9.125" defaultRowHeight="12.75"/>
  <cols>
    <col min="1" max="1" width="7.375" style="6" bestFit="1" customWidth="1"/>
    <col min="2" max="2" width="20.125" style="5" customWidth="1"/>
    <col min="3" max="3" width="26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1.25390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8.625" style="6" bestFit="1" customWidth="1"/>
    <col min="14" max="14" width="22.00390625" style="5" bestFit="1" customWidth="1"/>
    <col min="15" max="16384" width="9.125" style="3" customWidth="1"/>
  </cols>
  <sheetData>
    <row r="1" spans="1:14" s="2" customFormat="1" ht="28.5" customHeight="1">
      <c r="A1" s="55" t="s">
        <v>842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10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145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4" t="s">
        <v>16</v>
      </c>
      <c r="B6" s="11" t="s">
        <v>440</v>
      </c>
      <c r="C6" s="11" t="s">
        <v>441</v>
      </c>
      <c r="D6" s="11" t="s">
        <v>442</v>
      </c>
      <c r="E6" s="11" t="str">
        <f>"0,6091"</f>
        <v>0,6091</v>
      </c>
      <c r="F6" s="11" t="s">
        <v>20</v>
      </c>
      <c r="G6" s="11" t="s">
        <v>233</v>
      </c>
      <c r="H6" s="13" t="s">
        <v>325</v>
      </c>
      <c r="I6" s="13" t="s">
        <v>328</v>
      </c>
      <c r="J6" s="13" t="s">
        <v>327</v>
      </c>
      <c r="K6" s="14"/>
      <c r="L6" s="14" t="str">
        <f>"330,0"</f>
        <v>330,0</v>
      </c>
      <c r="M6" s="14" t="str">
        <f>"201,0030"</f>
        <v>201,0030</v>
      </c>
      <c r="N6" s="11" t="s">
        <v>443</v>
      </c>
    </row>
    <row r="7" spans="1:14" ht="12.75">
      <c r="A7" s="21" t="s">
        <v>56</v>
      </c>
      <c r="B7" s="19" t="s">
        <v>338</v>
      </c>
      <c r="C7" s="19" t="s">
        <v>339</v>
      </c>
      <c r="D7" s="19" t="s">
        <v>334</v>
      </c>
      <c r="E7" s="19" t="str">
        <f>"0,6129"</f>
        <v>0,6129</v>
      </c>
      <c r="F7" s="19" t="s">
        <v>20</v>
      </c>
      <c r="G7" s="19" t="s">
        <v>129</v>
      </c>
      <c r="H7" s="22" t="s">
        <v>164</v>
      </c>
      <c r="I7" s="20" t="s">
        <v>164</v>
      </c>
      <c r="J7" s="21"/>
      <c r="K7" s="21"/>
      <c r="L7" s="21" t="str">
        <f>"260,0"</f>
        <v>260,0</v>
      </c>
      <c r="M7" s="21" t="str">
        <f>"159,3540"</f>
        <v>159,3540</v>
      </c>
      <c r="N7" s="19" t="s">
        <v>134</v>
      </c>
    </row>
    <row r="8" spans="1:14" ht="12.75">
      <c r="A8" s="17" t="s">
        <v>139</v>
      </c>
      <c r="B8" s="15" t="s">
        <v>843</v>
      </c>
      <c r="C8" s="15" t="s">
        <v>806</v>
      </c>
      <c r="D8" s="15" t="s">
        <v>844</v>
      </c>
      <c r="E8" s="15" t="str">
        <f>"0,6250"</f>
        <v>0,6250</v>
      </c>
      <c r="F8" s="15" t="s">
        <v>20</v>
      </c>
      <c r="G8" s="15" t="s">
        <v>21</v>
      </c>
      <c r="H8" s="16" t="s">
        <v>173</v>
      </c>
      <c r="I8" s="16" t="s">
        <v>173</v>
      </c>
      <c r="J8" s="16" t="s">
        <v>173</v>
      </c>
      <c r="K8" s="17"/>
      <c r="L8" s="17" t="s">
        <v>143</v>
      </c>
      <c r="M8" s="17" t="str">
        <f>"0,0000"</f>
        <v>0,0000</v>
      </c>
      <c r="N8" s="15" t="s">
        <v>64</v>
      </c>
    </row>
    <row r="9" ht="12.75">
      <c r="B9" s="5" t="s">
        <v>32</v>
      </c>
    </row>
  </sheetData>
  <sheetProtection/>
  <mergeCells count="13"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24" sqref="C24"/>
    </sheetView>
  </sheetViews>
  <sheetFormatPr defaultColWidth="9.125" defaultRowHeight="12.75"/>
  <cols>
    <col min="1" max="1" width="7.375" style="6" bestFit="1" customWidth="1"/>
    <col min="2" max="2" width="19.625" style="5" customWidth="1"/>
    <col min="3" max="3" width="27.87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1.25390625" style="5" bestFit="1" customWidth="1"/>
    <col min="8" max="10" width="5.625" style="6" bestFit="1" customWidth="1"/>
    <col min="11" max="11" width="4.875" style="6" bestFit="1" customWidth="1"/>
    <col min="12" max="12" width="11.25390625" style="6" bestFit="1" customWidth="1"/>
    <col min="13" max="13" width="9.875" style="6" customWidth="1"/>
    <col min="14" max="14" width="23.625" style="5" bestFit="1" customWidth="1"/>
    <col min="15" max="16384" width="9.125" style="3" customWidth="1"/>
  </cols>
  <sheetData>
    <row r="1" spans="1:14" s="2" customFormat="1" ht="28.5" customHeight="1">
      <c r="A1" s="55" t="s">
        <v>845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33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0" t="s">
        <v>16</v>
      </c>
      <c r="B6" s="7" t="s">
        <v>846</v>
      </c>
      <c r="C6" s="7" t="s">
        <v>847</v>
      </c>
      <c r="D6" s="7" t="s">
        <v>848</v>
      </c>
      <c r="E6" s="7" t="str">
        <f>"1,2504"</f>
        <v>1,2504</v>
      </c>
      <c r="F6" s="7" t="s">
        <v>20</v>
      </c>
      <c r="G6" s="7" t="s">
        <v>37</v>
      </c>
      <c r="H6" s="9" t="s">
        <v>22</v>
      </c>
      <c r="I6" s="8" t="s">
        <v>84</v>
      </c>
      <c r="J6" s="8" t="s">
        <v>84</v>
      </c>
      <c r="K6" s="10"/>
      <c r="L6" s="10" t="str">
        <f>"72,5"</f>
        <v>72,5</v>
      </c>
      <c r="M6" s="10" t="str">
        <f>"90,6540"</f>
        <v>90,6540</v>
      </c>
      <c r="N6" s="7" t="s">
        <v>849</v>
      </c>
    </row>
    <row r="7" ht="12.75">
      <c r="B7" s="5" t="s">
        <v>32</v>
      </c>
    </row>
    <row r="8" spans="1:13" ht="15">
      <c r="A8" s="45" t="s">
        <v>44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2.75">
      <c r="A9" s="10" t="s">
        <v>16</v>
      </c>
      <c r="B9" s="7" t="s">
        <v>850</v>
      </c>
      <c r="C9" s="7" t="s">
        <v>851</v>
      </c>
      <c r="D9" s="7" t="s">
        <v>484</v>
      </c>
      <c r="E9" s="7" t="str">
        <f>"0,7973"</f>
        <v>0,7973</v>
      </c>
      <c r="F9" s="7" t="s">
        <v>20</v>
      </c>
      <c r="G9" s="7" t="s">
        <v>37</v>
      </c>
      <c r="H9" s="8" t="s">
        <v>43</v>
      </c>
      <c r="I9" s="9" t="s">
        <v>43</v>
      </c>
      <c r="J9" s="9" t="s">
        <v>60</v>
      </c>
      <c r="K9" s="10"/>
      <c r="L9" s="10" t="str">
        <f>"105,0"</f>
        <v>105,0</v>
      </c>
      <c r="M9" s="10" t="str">
        <f>"83,7165"</f>
        <v>83,7165</v>
      </c>
      <c r="N9" s="7" t="s">
        <v>852</v>
      </c>
    </row>
    <row r="10" ht="12.75">
      <c r="B10" s="5" t="s">
        <v>32</v>
      </c>
    </row>
    <row r="11" spans="1:13" ht="15">
      <c r="A11" s="45" t="s">
        <v>119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 ht="12.75">
      <c r="A12" s="10" t="s">
        <v>16</v>
      </c>
      <c r="B12" s="7" t="s">
        <v>853</v>
      </c>
      <c r="C12" s="7" t="s">
        <v>854</v>
      </c>
      <c r="D12" s="7" t="s">
        <v>855</v>
      </c>
      <c r="E12" s="7" t="str">
        <f>"0,6398"</f>
        <v>0,6398</v>
      </c>
      <c r="F12" s="7" t="s">
        <v>20</v>
      </c>
      <c r="G12" s="7" t="s">
        <v>21</v>
      </c>
      <c r="H12" s="8" t="s">
        <v>90</v>
      </c>
      <c r="I12" s="9" t="s">
        <v>90</v>
      </c>
      <c r="J12" s="8" t="s">
        <v>100</v>
      </c>
      <c r="K12" s="10"/>
      <c r="L12" s="10" t="str">
        <f>"205,0"</f>
        <v>205,0</v>
      </c>
      <c r="M12" s="10" t="str">
        <f>"177,0647"</f>
        <v>177,0647</v>
      </c>
      <c r="N12" s="7" t="s">
        <v>64</v>
      </c>
    </row>
    <row r="13" ht="12.75">
      <c r="B13" s="5" t="s">
        <v>32</v>
      </c>
    </row>
    <row r="14" spans="2:6" ht="15">
      <c r="B14" s="5" t="s">
        <v>32</v>
      </c>
      <c r="F14" s="23"/>
    </row>
    <row r="15" ht="12.75">
      <c r="B15" s="5" t="s">
        <v>32</v>
      </c>
    </row>
  </sheetData>
  <sheetProtection/>
  <mergeCells count="15">
    <mergeCell ref="A5:M5"/>
    <mergeCell ref="A8:M8"/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G14" sqref="G14"/>
    </sheetView>
  </sheetViews>
  <sheetFormatPr defaultColWidth="9.125" defaultRowHeight="12.75"/>
  <cols>
    <col min="1" max="1" width="7.375" style="6" bestFit="1" customWidth="1"/>
    <col min="2" max="2" width="22.75390625" style="5" customWidth="1"/>
    <col min="3" max="3" width="29.7539062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1.75390625" style="5" bestFit="1" customWidth="1"/>
    <col min="8" max="8" width="6.25390625" style="6" customWidth="1"/>
    <col min="9" max="9" width="10.375" style="26" bestFit="1" customWidth="1"/>
    <col min="10" max="10" width="8.875" style="6" bestFit="1" customWidth="1"/>
    <col min="11" max="11" width="11.00390625" style="6" customWidth="1"/>
    <col min="12" max="12" width="19.625" style="5" customWidth="1"/>
    <col min="13" max="16384" width="9.125" style="3" customWidth="1"/>
  </cols>
  <sheetData>
    <row r="1" spans="1:12" s="2" customFormat="1" ht="28.5" customHeight="1">
      <c r="A1" s="55" t="s">
        <v>861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856</v>
      </c>
      <c r="F3" s="47" t="s">
        <v>6</v>
      </c>
      <c r="G3" s="47" t="s">
        <v>7</v>
      </c>
      <c r="H3" s="47" t="s">
        <v>862</v>
      </c>
      <c r="I3" s="47"/>
      <c r="J3" s="47" t="s">
        <v>863</v>
      </c>
      <c r="K3" s="47" t="s">
        <v>12</v>
      </c>
      <c r="L3" s="51" t="s">
        <v>13</v>
      </c>
    </row>
    <row r="4" spans="1:12" s="1" customFormat="1" ht="21" customHeight="1" thickBot="1">
      <c r="A4" s="63"/>
      <c r="B4" s="50"/>
      <c r="C4" s="48"/>
      <c r="D4" s="48"/>
      <c r="E4" s="48"/>
      <c r="F4" s="48"/>
      <c r="G4" s="48"/>
      <c r="H4" s="44" t="s">
        <v>864</v>
      </c>
      <c r="I4" s="27" t="s">
        <v>865</v>
      </c>
      <c r="J4" s="48"/>
      <c r="K4" s="48"/>
      <c r="L4" s="52"/>
    </row>
    <row r="5" spans="1:11" ht="15">
      <c r="A5" s="53" t="s">
        <v>107</v>
      </c>
      <c r="B5" s="53"/>
      <c r="C5" s="54"/>
      <c r="D5" s="54"/>
      <c r="E5" s="54"/>
      <c r="F5" s="54"/>
      <c r="G5" s="54"/>
      <c r="H5" s="54"/>
      <c r="I5" s="54"/>
      <c r="J5" s="54"/>
      <c r="K5" s="54"/>
    </row>
    <row r="6" spans="1:12" ht="12.75">
      <c r="A6" s="14" t="s">
        <v>16</v>
      </c>
      <c r="B6" s="11" t="s">
        <v>610</v>
      </c>
      <c r="C6" s="11" t="s">
        <v>866</v>
      </c>
      <c r="D6" s="11" t="s">
        <v>867</v>
      </c>
      <c r="E6" s="11" t="str">
        <f>"0,6773"</f>
        <v>0,6773</v>
      </c>
      <c r="F6" s="11" t="s">
        <v>20</v>
      </c>
      <c r="G6" s="33" t="s">
        <v>37</v>
      </c>
      <c r="H6" s="14" t="s">
        <v>23</v>
      </c>
      <c r="I6" s="29">
        <v>30</v>
      </c>
      <c r="J6" s="14" t="str">
        <f>"2325,0"</f>
        <v>2325,0</v>
      </c>
      <c r="K6" s="14" t="str">
        <f>"1574,8387"</f>
        <v>1574,8387</v>
      </c>
      <c r="L6" s="11" t="s">
        <v>92</v>
      </c>
    </row>
    <row r="7" spans="1:12" ht="12.75">
      <c r="A7" s="21" t="s">
        <v>16</v>
      </c>
      <c r="B7" s="19" t="s">
        <v>868</v>
      </c>
      <c r="C7" s="19" t="s">
        <v>869</v>
      </c>
      <c r="D7" s="19" t="s">
        <v>870</v>
      </c>
      <c r="E7" s="19" t="str">
        <f>"0,6600"</f>
        <v>0,6600</v>
      </c>
      <c r="F7" s="19" t="s">
        <v>20</v>
      </c>
      <c r="G7" s="19" t="s">
        <v>871</v>
      </c>
      <c r="H7" s="21" t="s">
        <v>39</v>
      </c>
      <c r="I7" s="31">
        <v>43</v>
      </c>
      <c r="J7" s="21" t="str">
        <f>"3440,0"</f>
        <v>3440,0</v>
      </c>
      <c r="K7" s="21" t="str">
        <f>"2270,5719"</f>
        <v>2270,5719</v>
      </c>
      <c r="L7" s="19" t="s">
        <v>31</v>
      </c>
    </row>
    <row r="8" spans="1:12" ht="12.75">
      <c r="A8" s="17" t="s">
        <v>16</v>
      </c>
      <c r="B8" s="15" t="s">
        <v>872</v>
      </c>
      <c r="C8" s="15" t="s">
        <v>873</v>
      </c>
      <c r="D8" s="15" t="s">
        <v>874</v>
      </c>
      <c r="E8" s="15" t="str">
        <f>"0,6780"</f>
        <v>0,6780</v>
      </c>
      <c r="F8" s="15" t="s">
        <v>20</v>
      </c>
      <c r="G8" s="15" t="s">
        <v>871</v>
      </c>
      <c r="H8" s="17" t="s">
        <v>23</v>
      </c>
      <c r="I8" s="28">
        <v>39</v>
      </c>
      <c r="J8" s="17" t="str">
        <f>"3022,5"</f>
        <v>3022,5</v>
      </c>
      <c r="K8" s="17" t="str">
        <f>"2049,2549"</f>
        <v>2049,2549</v>
      </c>
      <c r="L8" s="15" t="s">
        <v>31</v>
      </c>
    </row>
    <row r="9" ht="12.75">
      <c r="B9" s="5" t="s">
        <v>32</v>
      </c>
    </row>
    <row r="10" spans="1:11" ht="15">
      <c r="A10" s="45" t="s">
        <v>119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</row>
    <row r="11" spans="1:12" ht="12.75">
      <c r="A11" s="14" t="s">
        <v>16</v>
      </c>
      <c r="B11" s="11" t="s">
        <v>875</v>
      </c>
      <c r="C11" s="11" t="s">
        <v>876</v>
      </c>
      <c r="D11" s="11" t="s">
        <v>877</v>
      </c>
      <c r="E11" s="11" t="str">
        <f>"0,6368"</f>
        <v>0,6368</v>
      </c>
      <c r="F11" s="11" t="s">
        <v>20</v>
      </c>
      <c r="G11" s="11" t="s">
        <v>226</v>
      </c>
      <c r="H11" s="14" t="s">
        <v>70</v>
      </c>
      <c r="I11" s="29">
        <v>44</v>
      </c>
      <c r="J11" s="14" t="str">
        <f>"3740,0"</f>
        <v>3740,0</v>
      </c>
      <c r="K11" s="14" t="str">
        <f>"2381,6320"</f>
        <v>2381,6320</v>
      </c>
      <c r="L11" s="11" t="s">
        <v>31</v>
      </c>
    </row>
    <row r="12" spans="1:12" ht="12.75">
      <c r="A12" s="21" t="s">
        <v>16</v>
      </c>
      <c r="B12" s="19" t="s">
        <v>631</v>
      </c>
      <c r="C12" s="19" t="s">
        <v>878</v>
      </c>
      <c r="D12" s="19" t="s">
        <v>633</v>
      </c>
      <c r="E12" s="19" t="str">
        <f>"0,6251"</f>
        <v>0,6251</v>
      </c>
      <c r="F12" s="19" t="s">
        <v>20</v>
      </c>
      <c r="G12" s="19" t="s">
        <v>37</v>
      </c>
      <c r="H12" s="21" t="s">
        <v>213</v>
      </c>
      <c r="I12" s="31">
        <v>22</v>
      </c>
      <c r="J12" s="21" t="str">
        <f>"1925,0"</f>
        <v>1925,0</v>
      </c>
      <c r="K12" s="21" t="str">
        <f>"1301,9896"</f>
        <v>1301,9896</v>
      </c>
      <c r="L12" s="19" t="s">
        <v>31</v>
      </c>
    </row>
    <row r="13" spans="1:12" ht="12.75">
      <c r="A13" s="21" t="s">
        <v>16</v>
      </c>
      <c r="B13" s="19" t="s">
        <v>634</v>
      </c>
      <c r="C13" s="19" t="s">
        <v>879</v>
      </c>
      <c r="D13" s="19" t="s">
        <v>636</v>
      </c>
      <c r="E13" s="19" t="str">
        <f>"0,6161"</f>
        <v>0,6161</v>
      </c>
      <c r="F13" s="19" t="s">
        <v>20</v>
      </c>
      <c r="G13" s="19" t="s">
        <v>37</v>
      </c>
      <c r="H13" s="21" t="s">
        <v>41</v>
      </c>
      <c r="I13" s="31">
        <v>21</v>
      </c>
      <c r="J13" s="21" t="str">
        <f>"1890,0"</f>
        <v>1890,0</v>
      </c>
      <c r="K13" s="21" t="str">
        <f>"1356,4497"</f>
        <v>1356,4497</v>
      </c>
      <c r="L13" s="19" t="s">
        <v>31</v>
      </c>
    </row>
    <row r="14" spans="1:12" ht="12.75">
      <c r="A14" s="17" t="s">
        <v>56</v>
      </c>
      <c r="B14" s="15" t="s">
        <v>880</v>
      </c>
      <c r="C14" s="15" t="s">
        <v>881</v>
      </c>
      <c r="D14" s="15" t="s">
        <v>882</v>
      </c>
      <c r="E14" s="15" t="str">
        <f>"0,6347"</f>
        <v>0,6347</v>
      </c>
      <c r="F14" s="15" t="s">
        <v>20</v>
      </c>
      <c r="G14" s="32" t="s">
        <v>37</v>
      </c>
      <c r="H14" s="17" t="s">
        <v>70</v>
      </c>
      <c r="I14" s="28">
        <v>16</v>
      </c>
      <c r="J14" s="17" t="str">
        <f>"1360,0"</f>
        <v>1360,0</v>
      </c>
      <c r="K14" s="17" t="str">
        <f>"1135,0975"</f>
        <v>1135,0975</v>
      </c>
      <c r="L14" s="15" t="s">
        <v>31</v>
      </c>
    </row>
    <row r="15" ht="12.75">
      <c r="B15" s="5" t="s">
        <v>32</v>
      </c>
    </row>
    <row r="16" spans="1:11" ht="15">
      <c r="A16" s="45" t="s">
        <v>145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2.75">
      <c r="A17" s="14" t="s">
        <v>16</v>
      </c>
      <c r="B17" s="11" t="s">
        <v>883</v>
      </c>
      <c r="C17" s="11" t="s">
        <v>884</v>
      </c>
      <c r="D17" s="11" t="s">
        <v>287</v>
      </c>
      <c r="E17" s="11" t="str">
        <f>"0,5816"</f>
        <v>0,5816</v>
      </c>
      <c r="F17" s="11" t="s">
        <v>20</v>
      </c>
      <c r="G17" s="11" t="s">
        <v>37</v>
      </c>
      <c r="H17" s="14" t="s">
        <v>43</v>
      </c>
      <c r="I17" s="29">
        <v>31</v>
      </c>
      <c r="J17" s="14" t="str">
        <f>"3100,0"</f>
        <v>3100,0</v>
      </c>
      <c r="K17" s="14" t="str">
        <f>"1802,8050"</f>
        <v>1802,8050</v>
      </c>
      <c r="L17" s="11" t="s">
        <v>31</v>
      </c>
    </row>
    <row r="18" spans="1:12" ht="12.75">
      <c r="A18" s="17" t="s">
        <v>56</v>
      </c>
      <c r="B18" s="15" t="s">
        <v>885</v>
      </c>
      <c r="C18" s="15" t="s">
        <v>886</v>
      </c>
      <c r="D18" s="15" t="s">
        <v>887</v>
      </c>
      <c r="E18" s="15" t="str">
        <f>"0,6090"</f>
        <v>0,6090</v>
      </c>
      <c r="F18" s="15" t="s">
        <v>20</v>
      </c>
      <c r="G18" s="32" t="s">
        <v>21</v>
      </c>
      <c r="H18" s="17" t="s">
        <v>117</v>
      </c>
      <c r="I18" s="28">
        <v>31</v>
      </c>
      <c r="J18" s="17" t="str">
        <f>"2867,5"</f>
        <v>2867,5</v>
      </c>
      <c r="K18" s="17" t="str">
        <f>"1746,1642"</f>
        <v>1746,1642</v>
      </c>
      <c r="L18" s="15" t="s">
        <v>31</v>
      </c>
    </row>
    <row r="19" ht="12.75">
      <c r="B19" s="5" t="s">
        <v>32</v>
      </c>
    </row>
    <row r="20" spans="1:11" ht="15">
      <c r="A20" s="45" t="s">
        <v>156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</row>
    <row r="21" spans="1:12" ht="12.75">
      <c r="A21" s="10" t="s">
        <v>16</v>
      </c>
      <c r="B21" s="7" t="s">
        <v>664</v>
      </c>
      <c r="C21" s="7" t="s">
        <v>888</v>
      </c>
      <c r="D21" s="7" t="s">
        <v>666</v>
      </c>
      <c r="E21" s="7" t="str">
        <f>"0,5645"</f>
        <v>0,5645</v>
      </c>
      <c r="F21" s="7" t="s">
        <v>20</v>
      </c>
      <c r="G21" s="40" t="s">
        <v>37</v>
      </c>
      <c r="H21" s="10" t="s">
        <v>48</v>
      </c>
      <c r="I21" s="30">
        <v>25</v>
      </c>
      <c r="J21" s="10" t="str">
        <f>"2750,0"</f>
        <v>2750,0</v>
      </c>
      <c r="K21" s="10" t="str">
        <f>"1583,5627"</f>
        <v>1583,5627</v>
      </c>
      <c r="L21" s="7" t="s">
        <v>31</v>
      </c>
    </row>
    <row r="22" ht="12.75">
      <c r="B22" s="5" t="s">
        <v>32</v>
      </c>
    </row>
    <row r="23" spans="1:11" ht="15">
      <c r="A23" s="45" t="s">
        <v>169</v>
      </c>
      <c r="B23" s="45"/>
      <c r="C23" s="65"/>
      <c r="D23" s="65"/>
      <c r="E23" s="65"/>
      <c r="F23" s="65"/>
      <c r="G23" s="65"/>
      <c r="H23" s="65"/>
      <c r="I23" s="65"/>
      <c r="J23" s="65"/>
      <c r="K23" s="65"/>
    </row>
    <row r="24" spans="1:12" ht="12.75">
      <c r="A24" s="10" t="s">
        <v>16</v>
      </c>
      <c r="B24" s="7" t="s">
        <v>889</v>
      </c>
      <c r="C24" s="7" t="s">
        <v>890</v>
      </c>
      <c r="D24" s="7" t="s">
        <v>891</v>
      </c>
      <c r="E24" s="7" t="str">
        <f>"0,5599"</f>
        <v>0,5599</v>
      </c>
      <c r="F24" s="7" t="s">
        <v>20</v>
      </c>
      <c r="G24" s="7" t="s">
        <v>452</v>
      </c>
      <c r="H24" s="10" t="s">
        <v>28</v>
      </c>
      <c r="I24" s="30">
        <v>25</v>
      </c>
      <c r="J24" s="10" t="str">
        <f>"2812,5"</f>
        <v>2812,5</v>
      </c>
      <c r="K24" s="10" t="str">
        <f>"1574,7187"</f>
        <v>1574,7187</v>
      </c>
      <c r="L24" s="7" t="s">
        <v>31</v>
      </c>
    </row>
    <row r="25" ht="12.75">
      <c r="B25" s="5" t="s">
        <v>32</v>
      </c>
    </row>
  </sheetData>
  <sheetProtection/>
  <mergeCells count="17">
    <mergeCell ref="A1:L2"/>
    <mergeCell ref="H3:I3"/>
    <mergeCell ref="A3:A4"/>
    <mergeCell ref="C3:C4"/>
    <mergeCell ref="D3:D4"/>
    <mergeCell ref="L3:L4"/>
    <mergeCell ref="G3:G4"/>
    <mergeCell ref="F3:F4"/>
    <mergeCell ref="A20:K20"/>
    <mergeCell ref="A23:K23"/>
    <mergeCell ref="B3:B4"/>
    <mergeCell ref="E3:E4"/>
    <mergeCell ref="J3:J4"/>
    <mergeCell ref="K3:K4"/>
    <mergeCell ref="A5:K5"/>
    <mergeCell ref="A10:K10"/>
    <mergeCell ref="A16:K16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1"/>
  <headerFooter alignWithMargins="0">
    <oddFooter>&amp;L&amp;G&amp;R&amp;D&amp;T&amp;P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H17" sqref="H17"/>
    </sheetView>
  </sheetViews>
  <sheetFormatPr defaultColWidth="9.125" defaultRowHeight="12.75"/>
  <cols>
    <col min="1" max="1" width="7.375" style="6" bestFit="1" customWidth="1"/>
    <col min="2" max="2" width="21.75390625" style="5" customWidth="1"/>
    <col min="3" max="3" width="28.37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3.125" style="5" bestFit="1" customWidth="1"/>
    <col min="8" max="8" width="6.375" style="6" customWidth="1"/>
    <col min="9" max="9" width="10.375" style="26" bestFit="1" customWidth="1"/>
    <col min="10" max="10" width="8.875" style="6" bestFit="1" customWidth="1"/>
    <col min="11" max="11" width="9.625" style="6" bestFit="1" customWidth="1"/>
    <col min="12" max="12" width="20.75390625" style="5" customWidth="1"/>
    <col min="13" max="16384" width="9.125" style="3" customWidth="1"/>
  </cols>
  <sheetData>
    <row r="1" spans="1:12" s="2" customFormat="1" ht="28.5" customHeight="1">
      <c r="A1" s="55" t="s">
        <v>892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856</v>
      </c>
      <c r="F3" s="47" t="s">
        <v>6</v>
      </c>
      <c r="G3" s="47" t="s">
        <v>7</v>
      </c>
      <c r="H3" s="47" t="s">
        <v>862</v>
      </c>
      <c r="I3" s="47"/>
      <c r="J3" s="47" t="s">
        <v>863</v>
      </c>
      <c r="K3" s="47" t="s">
        <v>12</v>
      </c>
      <c r="L3" s="51" t="s">
        <v>13</v>
      </c>
    </row>
    <row r="4" spans="1:12" s="1" customFormat="1" ht="21" customHeight="1" thickBot="1">
      <c r="A4" s="63"/>
      <c r="B4" s="66"/>
      <c r="C4" s="48"/>
      <c r="D4" s="48"/>
      <c r="E4" s="48"/>
      <c r="F4" s="48"/>
      <c r="G4" s="48"/>
      <c r="H4" s="44" t="s">
        <v>864</v>
      </c>
      <c r="I4" s="27" t="s">
        <v>865</v>
      </c>
      <c r="J4" s="48"/>
      <c r="K4" s="48"/>
      <c r="L4" s="52"/>
    </row>
    <row r="5" spans="1:11" ht="15">
      <c r="A5" s="53" t="s">
        <v>80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2.75">
      <c r="A6" s="14" t="s">
        <v>16</v>
      </c>
      <c r="B6" s="11" t="s">
        <v>478</v>
      </c>
      <c r="C6" s="11" t="s">
        <v>893</v>
      </c>
      <c r="D6" s="11" t="s">
        <v>894</v>
      </c>
      <c r="E6" s="11" t="str">
        <f>"0,8376"</f>
        <v>0,8376</v>
      </c>
      <c r="F6" s="11" t="s">
        <v>20</v>
      </c>
      <c r="G6" s="11" t="s">
        <v>481</v>
      </c>
      <c r="H6" s="14" t="s">
        <v>52</v>
      </c>
      <c r="I6" s="29">
        <v>32</v>
      </c>
      <c r="J6" s="14" t="str">
        <f>"1920,0"</f>
        <v>1920,0</v>
      </c>
      <c r="K6" s="14" t="str">
        <f>"1608,1920"</f>
        <v>1608,1920</v>
      </c>
      <c r="L6" s="11" t="s">
        <v>31</v>
      </c>
    </row>
    <row r="7" spans="1:12" ht="12.75">
      <c r="A7" s="17" t="s">
        <v>16</v>
      </c>
      <c r="B7" s="15" t="s">
        <v>478</v>
      </c>
      <c r="C7" s="15" t="s">
        <v>895</v>
      </c>
      <c r="D7" s="15" t="s">
        <v>894</v>
      </c>
      <c r="E7" s="15" t="str">
        <f>"0,8376"</f>
        <v>0,8376</v>
      </c>
      <c r="F7" s="15" t="s">
        <v>20</v>
      </c>
      <c r="G7" s="15" t="s">
        <v>481</v>
      </c>
      <c r="H7" s="17" t="s">
        <v>52</v>
      </c>
      <c r="I7" s="28">
        <v>32</v>
      </c>
      <c r="J7" s="17" t="str">
        <f>"1920,0"</f>
        <v>1920,0</v>
      </c>
      <c r="K7" s="17" t="str">
        <f>"1608,1920"</f>
        <v>1608,1920</v>
      </c>
      <c r="L7" s="15" t="s">
        <v>31</v>
      </c>
    </row>
    <row r="8" ht="12.75">
      <c r="B8" s="5" t="s">
        <v>32</v>
      </c>
    </row>
    <row r="9" spans="1:11" ht="15">
      <c r="A9" s="45" t="s">
        <v>44</v>
      </c>
      <c r="B9" s="45"/>
      <c r="C9" s="65"/>
      <c r="D9" s="65"/>
      <c r="E9" s="65"/>
      <c r="F9" s="65"/>
      <c r="G9" s="65"/>
      <c r="H9" s="65"/>
      <c r="I9" s="65"/>
      <c r="J9" s="65"/>
      <c r="K9" s="65"/>
    </row>
    <row r="10" spans="1:12" ht="12.75">
      <c r="A10" s="10" t="s">
        <v>16</v>
      </c>
      <c r="B10" s="7" t="s">
        <v>896</v>
      </c>
      <c r="C10" s="7" t="s">
        <v>897</v>
      </c>
      <c r="D10" s="7" t="s">
        <v>898</v>
      </c>
      <c r="E10" s="7" t="str">
        <f>"0,8159"</f>
        <v>0,8159</v>
      </c>
      <c r="F10" s="7" t="s">
        <v>20</v>
      </c>
      <c r="G10" s="7" t="s">
        <v>21</v>
      </c>
      <c r="H10" s="10" t="s">
        <v>785</v>
      </c>
      <c r="I10" s="30">
        <v>43</v>
      </c>
      <c r="J10" s="10" t="str">
        <f>"2687,5"</f>
        <v>2687,5</v>
      </c>
      <c r="K10" s="10" t="str">
        <f>"2192,7313"</f>
        <v>2192,7313</v>
      </c>
      <c r="L10" s="7" t="s">
        <v>899</v>
      </c>
    </row>
    <row r="11" ht="12.75">
      <c r="B11" s="5" t="s">
        <v>32</v>
      </c>
    </row>
    <row r="12" spans="1:11" ht="15">
      <c r="A12" s="45" t="s">
        <v>107</v>
      </c>
      <c r="B12" s="45"/>
      <c r="C12" s="65"/>
      <c r="D12" s="65"/>
      <c r="E12" s="65"/>
      <c r="F12" s="65"/>
      <c r="G12" s="65"/>
      <c r="H12" s="65"/>
      <c r="I12" s="65"/>
      <c r="J12" s="65"/>
      <c r="K12" s="65"/>
    </row>
    <row r="13" spans="1:12" ht="12.75">
      <c r="A13" s="14" t="s">
        <v>16</v>
      </c>
      <c r="B13" s="11" t="s">
        <v>900</v>
      </c>
      <c r="C13" s="11" t="s">
        <v>901</v>
      </c>
      <c r="D13" s="11" t="s">
        <v>902</v>
      </c>
      <c r="E13" s="11" t="str">
        <f>"0,6755"</f>
        <v>0,6755</v>
      </c>
      <c r="F13" s="11" t="s">
        <v>20</v>
      </c>
      <c r="G13" s="11" t="s">
        <v>21</v>
      </c>
      <c r="H13" s="14" t="s">
        <v>23</v>
      </c>
      <c r="I13" s="29">
        <v>42</v>
      </c>
      <c r="J13" s="14" t="str">
        <f>"3255,0"</f>
        <v>3255,0</v>
      </c>
      <c r="K13" s="14" t="str">
        <f>"2198,7524"</f>
        <v>2198,7524</v>
      </c>
      <c r="L13" s="11" t="s">
        <v>899</v>
      </c>
    </row>
    <row r="14" spans="1:12" ht="12.75">
      <c r="A14" s="21" t="s">
        <v>56</v>
      </c>
      <c r="B14" s="19" t="s">
        <v>903</v>
      </c>
      <c r="C14" s="19" t="s">
        <v>904</v>
      </c>
      <c r="D14" s="19" t="s">
        <v>905</v>
      </c>
      <c r="E14" s="19" t="str">
        <f>"0,6540"</f>
        <v>0,6540</v>
      </c>
      <c r="F14" s="19" t="s">
        <v>20</v>
      </c>
      <c r="G14" s="19" t="s">
        <v>154</v>
      </c>
      <c r="H14" s="21" t="s">
        <v>24</v>
      </c>
      <c r="I14" s="31">
        <v>35</v>
      </c>
      <c r="J14" s="21" t="str">
        <f>"2887,5"</f>
        <v>2887,5</v>
      </c>
      <c r="K14" s="21" t="str">
        <f>"1888,4250"</f>
        <v>1888,4250</v>
      </c>
      <c r="L14" s="19" t="s">
        <v>31</v>
      </c>
    </row>
    <row r="15" spans="1:12" ht="12.75">
      <c r="A15" s="21" t="s">
        <v>65</v>
      </c>
      <c r="B15" s="19" t="s">
        <v>906</v>
      </c>
      <c r="C15" s="19" t="s">
        <v>618</v>
      </c>
      <c r="D15" s="19" t="s">
        <v>803</v>
      </c>
      <c r="E15" s="19" t="str">
        <f>"0,6535"</f>
        <v>0,6535</v>
      </c>
      <c r="F15" s="19" t="s">
        <v>20</v>
      </c>
      <c r="G15" s="19" t="s">
        <v>154</v>
      </c>
      <c r="H15" s="21" t="s">
        <v>24</v>
      </c>
      <c r="I15" s="31">
        <v>31</v>
      </c>
      <c r="J15" s="21" t="str">
        <f>"2557,5"</f>
        <v>2557,5</v>
      </c>
      <c r="K15" s="21" t="str">
        <f>"1671,1984"</f>
        <v>1671,1984</v>
      </c>
      <c r="L15" s="19" t="s">
        <v>31</v>
      </c>
    </row>
    <row r="16" spans="1:12" ht="12.75">
      <c r="A16" s="17" t="s">
        <v>74</v>
      </c>
      <c r="B16" s="15" t="s">
        <v>525</v>
      </c>
      <c r="C16" s="15" t="s">
        <v>526</v>
      </c>
      <c r="D16" s="15" t="s">
        <v>115</v>
      </c>
      <c r="E16" s="15" t="str">
        <f>"0,6518"</f>
        <v>0,6518</v>
      </c>
      <c r="F16" s="15" t="s">
        <v>20</v>
      </c>
      <c r="G16" s="15" t="s">
        <v>37</v>
      </c>
      <c r="H16" s="17" t="s">
        <v>24</v>
      </c>
      <c r="I16" s="28">
        <v>21</v>
      </c>
      <c r="J16" s="17" t="str">
        <f>"1732,5"</f>
        <v>1732,5</v>
      </c>
      <c r="K16" s="17" t="str">
        <f>"1129,3301"</f>
        <v>1129,3301</v>
      </c>
      <c r="L16" s="15" t="s">
        <v>31</v>
      </c>
    </row>
    <row r="17" ht="12.75">
      <c r="B17" s="5" t="s">
        <v>32</v>
      </c>
    </row>
    <row r="18" spans="1:11" ht="15">
      <c r="A18" s="45" t="s">
        <v>119</v>
      </c>
      <c r="B18" s="45"/>
      <c r="C18" s="65"/>
      <c r="D18" s="65"/>
      <c r="E18" s="65"/>
      <c r="F18" s="65"/>
      <c r="G18" s="65"/>
      <c r="H18" s="65"/>
      <c r="I18" s="65"/>
      <c r="J18" s="65"/>
      <c r="K18" s="65"/>
    </row>
    <row r="19" spans="1:12" ht="12.75">
      <c r="A19" s="14" t="s">
        <v>16</v>
      </c>
      <c r="B19" s="11" t="s">
        <v>907</v>
      </c>
      <c r="C19" s="11" t="s">
        <v>908</v>
      </c>
      <c r="D19" s="11" t="s">
        <v>137</v>
      </c>
      <c r="E19" s="11" t="str">
        <f>"0,6137"</f>
        <v>0,6137</v>
      </c>
      <c r="F19" s="11" t="s">
        <v>20</v>
      </c>
      <c r="G19" s="11" t="s">
        <v>909</v>
      </c>
      <c r="H19" s="14" t="s">
        <v>41</v>
      </c>
      <c r="I19" s="29">
        <v>30</v>
      </c>
      <c r="J19" s="14" t="str">
        <f>"2700,0"</f>
        <v>2700,0</v>
      </c>
      <c r="K19" s="14" t="str">
        <f>"1657,1249"</f>
        <v>1657,1249</v>
      </c>
      <c r="L19" s="11" t="s">
        <v>31</v>
      </c>
    </row>
    <row r="20" spans="1:12" ht="12.75">
      <c r="A20" s="21" t="s">
        <v>56</v>
      </c>
      <c r="B20" s="19" t="s">
        <v>536</v>
      </c>
      <c r="C20" s="19" t="s">
        <v>910</v>
      </c>
      <c r="D20" s="19" t="s">
        <v>142</v>
      </c>
      <c r="E20" s="19" t="str">
        <f>"0,6149"</f>
        <v>0,6149</v>
      </c>
      <c r="F20" s="19" t="s">
        <v>20</v>
      </c>
      <c r="G20" s="19" t="s">
        <v>37</v>
      </c>
      <c r="H20" s="21" t="s">
        <v>41</v>
      </c>
      <c r="I20" s="31">
        <v>27</v>
      </c>
      <c r="J20" s="21" t="str">
        <f>"2430,0"</f>
        <v>2430,0</v>
      </c>
      <c r="K20" s="21" t="str">
        <f>"1494,2070"</f>
        <v>1494,2070</v>
      </c>
      <c r="L20" s="19" t="s">
        <v>31</v>
      </c>
    </row>
    <row r="21" spans="1:12" ht="12.75">
      <c r="A21" s="21" t="s">
        <v>16</v>
      </c>
      <c r="B21" s="19" t="s">
        <v>911</v>
      </c>
      <c r="C21" s="19" t="s">
        <v>912</v>
      </c>
      <c r="D21" s="19" t="s">
        <v>882</v>
      </c>
      <c r="E21" s="19" t="str">
        <f>"0,6347"</f>
        <v>0,6347</v>
      </c>
      <c r="F21" s="19" t="s">
        <v>20</v>
      </c>
      <c r="G21" s="19" t="s">
        <v>37</v>
      </c>
      <c r="H21" s="21" t="s">
        <v>70</v>
      </c>
      <c r="I21" s="31">
        <v>23</v>
      </c>
      <c r="J21" s="21" t="str">
        <f>"1955,0"</f>
        <v>1955,0</v>
      </c>
      <c r="K21" s="21" t="str">
        <f>"1240,8385"</f>
        <v>1240,8385</v>
      </c>
      <c r="L21" s="19" t="s">
        <v>271</v>
      </c>
    </row>
    <row r="22" spans="1:12" ht="12.75">
      <c r="A22" s="17" t="s">
        <v>56</v>
      </c>
      <c r="B22" s="15" t="s">
        <v>556</v>
      </c>
      <c r="C22" s="15" t="s">
        <v>557</v>
      </c>
      <c r="D22" s="15" t="s">
        <v>913</v>
      </c>
      <c r="E22" s="15" t="str">
        <f>"0,6151"</f>
        <v>0,6151</v>
      </c>
      <c r="F22" s="15" t="s">
        <v>20</v>
      </c>
      <c r="G22" s="15" t="s">
        <v>37</v>
      </c>
      <c r="H22" s="17" t="s">
        <v>41</v>
      </c>
      <c r="I22" s="28">
        <v>17</v>
      </c>
      <c r="J22" s="17" t="str">
        <f>"1530,0"</f>
        <v>1530,0</v>
      </c>
      <c r="K22" s="17" t="str">
        <f>"941,1030"</f>
        <v>941,1030</v>
      </c>
      <c r="L22" s="15" t="s">
        <v>31</v>
      </c>
    </row>
    <row r="23" ht="12.75">
      <c r="B23" s="5" t="s">
        <v>32</v>
      </c>
    </row>
    <row r="24" spans="1:11" ht="15">
      <c r="A24" s="45" t="s">
        <v>145</v>
      </c>
      <c r="B24" s="45"/>
      <c r="C24" s="65"/>
      <c r="D24" s="65"/>
      <c r="E24" s="65"/>
      <c r="F24" s="65"/>
      <c r="G24" s="65"/>
      <c r="H24" s="65"/>
      <c r="I24" s="65"/>
      <c r="J24" s="65"/>
      <c r="K24" s="65"/>
    </row>
    <row r="25" spans="1:12" ht="12.75">
      <c r="A25" s="14" t="s">
        <v>16</v>
      </c>
      <c r="B25" s="11" t="s">
        <v>561</v>
      </c>
      <c r="C25" s="11" t="s">
        <v>562</v>
      </c>
      <c r="D25" s="11" t="s">
        <v>914</v>
      </c>
      <c r="E25" s="11" t="str">
        <f>"0,5865"</f>
        <v>0,5865</v>
      </c>
      <c r="F25" s="11" t="s">
        <v>20</v>
      </c>
      <c r="G25" s="11" t="s">
        <v>37</v>
      </c>
      <c r="H25" s="14" t="s">
        <v>43</v>
      </c>
      <c r="I25" s="29">
        <v>33</v>
      </c>
      <c r="J25" s="14" t="str">
        <f>"3300,0"</f>
        <v>3300,0</v>
      </c>
      <c r="K25" s="14" t="str">
        <f>"1935,4500"</f>
        <v>1935,4500</v>
      </c>
      <c r="L25" s="11" t="s">
        <v>31</v>
      </c>
    </row>
    <row r="26" spans="1:12" ht="12.75">
      <c r="A26" s="21" t="s">
        <v>56</v>
      </c>
      <c r="B26" s="19" t="s">
        <v>564</v>
      </c>
      <c r="C26" s="19" t="s">
        <v>565</v>
      </c>
      <c r="D26" s="19" t="s">
        <v>566</v>
      </c>
      <c r="E26" s="19" t="str">
        <f>"0,5813"</f>
        <v>0,5813</v>
      </c>
      <c r="F26" s="19" t="s">
        <v>20</v>
      </c>
      <c r="G26" s="19" t="s">
        <v>37</v>
      </c>
      <c r="H26" s="21" t="s">
        <v>43</v>
      </c>
      <c r="I26" s="31">
        <v>32</v>
      </c>
      <c r="J26" s="21" t="str">
        <f>"3200,0"</f>
        <v>3200,0</v>
      </c>
      <c r="K26" s="21" t="str">
        <f>"1860,1601"</f>
        <v>1860,1601</v>
      </c>
      <c r="L26" s="19" t="s">
        <v>915</v>
      </c>
    </row>
    <row r="27" spans="1:12" ht="12.75">
      <c r="A27" s="17" t="s">
        <v>65</v>
      </c>
      <c r="B27" s="15" t="s">
        <v>858</v>
      </c>
      <c r="C27" s="15" t="s">
        <v>859</v>
      </c>
      <c r="D27" s="15" t="s">
        <v>860</v>
      </c>
      <c r="E27" s="15" t="str">
        <f>"0,5831"</f>
        <v>0,5831</v>
      </c>
      <c r="F27" s="15" t="s">
        <v>20</v>
      </c>
      <c r="G27" s="15" t="s">
        <v>37</v>
      </c>
      <c r="H27" s="17" t="s">
        <v>43</v>
      </c>
      <c r="I27" s="28">
        <v>21</v>
      </c>
      <c r="J27" s="17" t="str">
        <f>"2100,0"</f>
        <v>2100,0</v>
      </c>
      <c r="K27" s="17" t="str">
        <f>"1224,4050"</f>
        <v>1224,4050</v>
      </c>
      <c r="L27" s="15" t="s">
        <v>541</v>
      </c>
    </row>
    <row r="28" ht="12.75">
      <c r="B28" s="5" t="s">
        <v>32</v>
      </c>
    </row>
    <row r="29" spans="2:6" ht="15">
      <c r="B29" s="5" t="s">
        <v>32</v>
      </c>
      <c r="F29" s="23"/>
    </row>
    <row r="30" ht="12.75">
      <c r="B30" s="5" t="s">
        <v>32</v>
      </c>
    </row>
    <row r="31" spans="2:4" ht="18">
      <c r="B31" s="5" t="s">
        <v>32</v>
      </c>
      <c r="C31" s="24" t="s">
        <v>175</v>
      </c>
      <c r="D31" s="24"/>
    </row>
    <row r="32" spans="2:4" ht="15">
      <c r="B32" s="5" t="s">
        <v>32</v>
      </c>
      <c r="C32" s="43" t="s">
        <v>190</v>
      </c>
      <c r="D32" s="43"/>
    </row>
    <row r="33" ht="12.75">
      <c r="B33" s="5" t="s">
        <v>32</v>
      </c>
    </row>
    <row r="34" spans="2:4" ht="14.25">
      <c r="B34" s="5" t="s">
        <v>32</v>
      </c>
      <c r="C34" s="25"/>
      <c r="D34" s="25" t="s">
        <v>177</v>
      </c>
    </row>
    <row r="35" spans="2:7" ht="15">
      <c r="B35" s="5" t="s">
        <v>32</v>
      </c>
      <c r="C35" s="4" t="s">
        <v>178</v>
      </c>
      <c r="D35" s="4" t="s">
        <v>179</v>
      </c>
      <c r="E35" s="4" t="s">
        <v>180</v>
      </c>
      <c r="F35" s="4" t="s">
        <v>181</v>
      </c>
      <c r="G35" s="4" t="s">
        <v>857</v>
      </c>
    </row>
    <row r="36" spans="2:7" ht="12.75">
      <c r="B36" s="5" t="s">
        <v>32</v>
      </c>
      <c r="C36" s="42" t="s">
        <v>900</v>
      </c>
      <c r="D36" s="5" t="s">
        <v>177</v>
      </c>
      <c r="E36" s="6" t="s">
        <v>24</v>
      </c>
      <c r="F36" s="6" t="s">
        <v>916</v>
      </c>
      <c r="G36" s="6" t="s">
        <v>917</v>
      </c>
    </row>
    <row r="37" spans="2:7" ht="12.75">
      <c r="B37" s="5" t="s">
        <v>32</v>
      </c>
      <c r="C37" s="42" t="s">
        <v>896</v>
      </c>
      <c r="D37" s="5" t="s">
        <v>177</v>
      </c>
      <c r="E37" s="6" t="s">
        <v>185</v>
      </c>
      <c r="F37" s="6" t="s">
        <v>918</v>
      </c>
      <c r="G37" s="6" t="s">
        <v>919</v>
      </c>
    </row>
    <row r="38" spans="2:7" ht="12.75">
      <c r="B38" s="5" t="s">
        <v>32</v>
      </c>
      <c r="C38" s="42" t="s">
        <v>561</v>
      </c>
      <c r="D38" s="5" t="s">
        <v>177</v>
      </c>
      <c r="E38" s="6" t="s">
        <v>43</v>
      </c>
      <c r="F38" s="6" t="s">
        <v>920</v>
      </c>
      <c r="G38" s="6" t="s">
        <v>921</v>
      </c>
    </row>
    <row r="39" ht="12.75">
      <c r="B39" s="5" t="s">
        <v>32</v>
      </c>
    </row>
  </sheetData>
  <sheetProtection/>
  <mergeCells count="17">
    <mergeCell ref="A18:K18"/>
    <mergeCell ref="A24:K24"/>
    <mergeCell ref="B3:B4"/>
    <mergeCell ref="J3:J4"/>
    <mergeCell ref="K3:K4"/>
    <mergeCell ref="L3:L4"/>
    <mergeCell ref="A5:K5"/>
    <mergeCell ref="A9:K9"/>
    <mergeCell ref="A12:K12"/>
    <mergeCell ref="A1:L2"/>
    <mergeCell ref="A3:A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G20" sqref="G20"/>
    </sheetView>
  </sheetViews>
  <sheetFormatPr defaultColWidth="9.125" defaultRowHeight="12.75"/>
  <cols>
    <col min="1" max="1" width="7.375" style="6" bestFit="1" customWidth="1"/>
    <col min="2" max="2" width="21.25390625" style="5" customWidth="1"/>
    <col min="3" max="3" width="27.75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3.125" style="5" customWidth="1"/>
    <col min="8" max="8" width="5.00390625" style="6" bestFit="1" customWidth="1"/>
    <col min="9" max="9" width="10.375" style="26" bestFit="1" customWidth="1"/>
    <col min="10" max="10" width="8.875" style="6" bestFit="1" customWidth="1"/>
    <col min="11" max="11" width="9.625" style="6" bestFit="1" customWidth="1"/>
    <col min="12" max="12" width="27.625" style="5" bestFit="1" customWidth="1"/>
    <col min="13" max="16384" width="9.125" style="3" customWidth="1"/>
  </cols>
  <sheetData>
    <row r="1" spans="1:12" s="2" customFormat="1" ht="28.5" customHeight="1">
      <c r="A1" s="55" t="s">
        <v>922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856</v>
      </c>
      <c r="F3" s="47" t="s">
        <v>6</v>
      </c>
      <c r="G3" s="47" t="s">
        <v>7</v>
      </c>
      <c r="H3" s="47" t="s">
        <v>862</v>
      </c>
      <c r="I3" s="47"/>
      <c r="J3" s="47" t="s">
        <v>863</v>
      </c>
      <c r="K3" s="47" t="s">
        <v>12</v>
      </c>
      <c r="L3" s="51" t="s">
        <v>13</v>
      </c>
    </row>
    <row r="4" spans="1:12" s="1" customFormat="1" ht="21" customHeight="1" thickBot="1">
      <c r="A4" s="63"/>
      <c r="B4" s="66"/>
      <c r="C4" s="48"/>
      <c r="D4" s="48"/>
      <c r="E4" s="48"/>
      <c r="F4" s="48"/>
      <c r="G4" s="48"/>
      <c r="H4" s="44" t="s">
        <v>864</v>
      </c>
      <c r="I4" s="27" t="s">
        <v>865</v>
      </c>
      <c r="J4" s="48"/>
      <c r="K4" s="48"/>
      <c r="L4" s="52"/>
    </row>
    <row r="5" spans="1:11" ht="15">
      <c r="A5" s="53" t="s">
        <v>107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2" ht="12.75">
      <c r="A6" s="14" t="s">
        <v>16</v>
      </c>
      <c r="B6" s="11" t="s">
        <v>923</v>
      </c>
      <c r="C6" s="11" t="s">
        <v>924</v>
      </c>
      <c r="D6" s="11" t="s">
        <v>902</v>
      </c>
      <c r="E6" s="11" t="str">
        <f>"0,6755"</f>
        <v>0,6755</v>
      </c>
      <c r="F6" s="11" t="s">
        <v>20</v>
      </c>
      <c r="G6" s="11" t="s">
        <v>379</v>
      </c>
      <c r="H6" s="14" t="s">
        <v>111</v>
      </c>
      <c r="I6" s="29">
        <v>67</v>
      </c>
      <c r="J6" s="14" t="str">
        <f>"2680,0"</f>
        <v>2680,0</v>
      </c>
      <c r="K6" s="14" t="str">
        <f>"1810,3399"</f>
        <v>1810,3399</v>
      </c>
      <c r="L6" s="11" t="s">
        <v>31</v>
      </c>
    </row>
    <row r="7" spans="1:12" ht="12.75">
      <c r="A7" s="17" t="s">
        <v>56</v>
      </c>
      <c r="B7" s="15" t="s">
        <v>925</v>
      </c>
      <c r="C7" s="15" t="s">
        <v>926</v>
      </c>
      <c r="D7" s="15" t="s">
        <v>927</v>
      </c>
      <c r="E7" s="15" t="str">
        <f>"0,6652"</f>
        <v>0,6652</v>
      </c>
      <c r="F7" s="15" t="s">
        <v>20</v>
      </c>
      <c r="G7" s="15" t="s">
        <v>37</v>
      </c>
      <c r="H7" s="17" t="s">
        <v>111</v>
      </c>
      <c r="I7" s="28">
        <v>61</v>
      </c>
      <c r="J7" s="17" t="str">
        <f>"2440,0"</f>
        <v>2440,0</v>
      </c>
      <c r="K7" s="17" t="str">
        <f>"1623,0880"</f>
        <v>1623,0880</v>
      </c>
      <c r="L7" s="15" t="s">
        <v>31</v>
      </c>
    </row>
    <row r="8" ht="12.75">
      <c r="B8" s="5" t="s">
        <v>32</v>
      </c>
    </row>
    <row r="9" spans="2:6" ht="15">
      <c r="B9" s="5" t="s">
        <v>32</v>
      </c>
      <c r="F9" s="23"/>
    </row>
    <row r="10" ht="12.75">
      <c r="B10" s="5" t="s">
        <v>32</v>
      </c>
    </row>
  </sheetData>
  <sheetProtection/>
  <mergeCells count="13"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zoomScale="80" zoomScaleNormal="80" zoomScalePageLayoutView="0" workbookViewId="0" topLeftCell="A7">
      <selection activeCell="V8" sqref="V8"/>
    </sheetView>
  </sheetViews>
  <sheetFormatPr defaultColWidth="9.125" defaultRowHeight="12.75"/>
  <cols>
    <col min="1" max="1" width="7.375" style="6" bestFit="1" customWidth="1"/>
    <col min="2" max="2" width="24.125" style="5" customWidth="1"/>
    <col min="3" max="3" width="29.2539062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1.625" style="5" bestFit="1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7.875" style="6" bestFit="1" customWidth="1"/>
    <col min="21" max="21" width="8.625" style="6" bestFit="1" customWidth="1"/>
    <col min="22" max="22" width="29.375" style="5" bestFit="1" customWidth="1"/>
    <col min="23" max="16384" width="9.125" style="3" customWidth="1"/>
  </cols>
  <sheetData>
    <row r="1" spans="1:22" s="2" customFormat="1" ht="28.5" customHeight="1">
      <c r="A1" s="55" t="s">
        <v>197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/>
      <c r="J3" s="47"/>
      <c r="K3" s="47"/>
      <c r="L3" s="47" t="s">
        <v>9</v>
      </c>
      <c r="M3" s="47"/>
      <c r="N3" s="47"/>
      <c r="O3" s="47"/>
      <c r="P3" s="47" t="s">
        <v>10</v>
      </c>
      <c r="Q3" s="47"/>
      <c r="R3" s="47"/>
      <c r="S3" s="47"/>
      <c r="T3" s="47" t="s">
        <v>11</v>
      </c>
      <c r="U3" s="47" t="s">
        <v>12</v>
      </c>
      <c r="V3" s="51" t="s">
        <v>13</v>
      </c>
    </row>
    <row r="4" spans="1:22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4">
        <v>1</v>
      </c>
      <c r="Q4" s="44">
        <v>2</v>
      </c>
      <c r="R4" s="44">
        <v>3</v>
      </c>
      <c r="S4" s="44" t="s">
        <v>14</v>
      </c>
      <c r="T4" s="48"/>
      <c r="U4" s="48"/>
      <c r="V4" s="52"/>
    </row>
    <row r="5" spans="1:21" ht="15">
      <c r="A5" s="53" t="s">
        <v>15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2" ht="12.75">
      <c r="A6" s="10" t="s">
        <v>16</v>
      </c>
      <c r="B6" s="7" t="s">
        <v>198</v>
      </c>
      <c r="C6" s="7" t="s">
        <v>199</v>
      </c>
      <c r="D6" s="7" t="s">
        <v>200</v>
      </c>
      <c r="E6" s="7" t="str">
        <f>"1,3636"</f>
        <v>1,3636</v>
      </c>
      <c r="F6" s="7" t="s">
        <v>20</v>
      </c>
      <c r="G6" s="40" t="s">
        <v>201</v>
      </c>
      <c r="H6" s="9" t="s">
        <v>111</v>
      </c>
      <c r="I6" s="8" t="s">
        <v>25</v>
      </c>
      <c r="J6" s="9" t="s">
        <v>25</v>
      </c>
      <c r="K6" s="10"/>
      <c r="L6" s="9" t="s">
        <v>202</v>
      </c>
      <c r="M6" s="9" t="s">
        <v>203</v>
      </c>
      <c r="N6" s="8" t="s">
        <v>204</v>
      </c>
      <c r="O6" s="10"/>
      <c r="P6" s="9" t="s">
        <v>51</v>
      </c>
      <c r="Q6" s="9" t="s">
        <v>52</v>
      </c>
      <c r="R6" s="9" t="s">
        <v>205</v>
      </c>
      <c r="S6" s="10"/>
      <c r="T6" s="10" t="str">
        <f>"137,5"</f>
        <v>137,5</v>
      </c>
      <c r="U6" s="10" t="str">
        <f>"187,4950"</f>
        <v>187,4950</v>
      </c>
      <c r="V6" s="7" t="s">
        <v>206</v>
      </c>
    </row>
    <row r="7" ht="12.75">
      <c r="B7" s="5" t="s">
        <v>32</v>
      </c>
    </row>
    <row r="8" spans="1:21" ht="15">
      <c r="A8" s="45" t="s">
        <v>33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2" ht="12.75">
      <c r="A9" s="14" t="s">
        <v>16</v>
      </c>
      <c r="B9" s="11" t="s">
        <v>207</v>
      </c>
      <c r="C9" s="11" t="s">
        <v>208</v>
      </c>
      <c r="D9" s="11" t="s">
        <v>209</v>
      </c>
      <c r="E9" s="11" t="str">
        <f>"1,2560"</f>
        <v>1,2560</v>
      </c>
      <c r="F9" s="11" t="s">
        <v>20</v>
      </c>
      <c r="G9" s="11" t="s">
        <v>37</v>
      </c>
      <c r="H9" s="13" t="s">
        <v>39</v>
      </c>
      <c r="I9" s="12" t="s">
        <v>41</v>
      </c>
      <c r="J9" s="13" t="s">
        <v>41</v>
      </c>
      <c r="K9" s="14"/>
      <c r="L9" s="13" t="s">
        <v>40</v>
      </c>
      <c r="M9" s="13" t="s">
        <v>26</v>
      </c>
      <c r="N9" s="12" t="s">
        <v>27</v>
      </c>
      <c r="O9" s="14"/>
      <c r="P9" s="13" t="s">
        <v>49</v>
      </c>
      <c r="Q9" s="13" t="s">
        <v>50</v>
      </c>
      <c r="R9" s="12" t="s">
        <v>73</v>
      </c>
      <c r="S9" s="14"/>
      <c r="T9" s="14" t="str">
        <f>"260,0"</f>
        <v>260,0</v>
      </c>
      <c r="U9" s="14" t="str">
        <f>"326,5600"</f>
        <v>326,5600</v>
      </c>
      <c r="V9" s="11" t="s">
        <v>92</v>
      </c>
    </row>
    <row r="10" spans="1:22" ht="12.75">
      <c r="A10" s="21" t="s">
        <v>56</v>
      </c>
      <c r="B10" s="19" t="s">
        <v>210</v>
      </c>
      <c r="C10" s="19" t="s">
        <v>211</v>
      </c>
      <c r="D10" s="19" t="s">
        <v>212</v>
      </c>
      <c r="E10" s="19" t="str">
        <f>"1,2597"</f>
        <v>1,2597</v>
      </c>
      <c r="F10" s="19" t="s">
        <v>20</v>
      </c>
      <c r="G10" s="19" t="s">
        <v>37</v>
      </c>
      <c r="H10" s="20" t="s">
        <v>39</v>
      </c>
      <c r="I10" s="20" t="s">
        <v>213</v>
      </c>
      <c r="J10" s="22" t="s">
        <v>117</v>
      </c>
      <c r="K10" s="21"/>
      <c r="L10" s="20" t="s">
        <v>214</v>
      </c>
      <c r="M10" s="20" t="s">
        <v>111</v>
      </c>
      <c r="N10" s="22" t="s">
        <v>25</v>
      </c>
      <c r="O10" s="21"/>
      <c r="P10" s="22" t="s">
        <v>60</v>
      </c>
      <c r="Q10" s="20" t="s">
        <v>60</v>
      </c>
      <c r="R10" s="20" t="s">
        <v>49</v>
      </c>
      <c r="S10" s="21"/>
      <c r="T10" s="21" t="str">
        <f>"242,5"</f>
        <v>242,5</v>
      </c>
      <c r="U10" s="21" t="str">
        <f>"305,4772"</f>
        <v>305,4772</v>
      </c>
      <c r="V10" s="19" t="s">
        <v>215</v>
      </c>
    </row>
    <row r="11" spans="1:22" ht="12.75">
      <c r="A11" s="17" t="s">
        <v>65</v>
      </c>
      <c r="B11" s="15" t="s">
        <v>216</v>
      </c>
      <c r="C11" s="15" t="s">
        <v>217</v>
      </c>
      <c r="D11" s="15" t="s">
        <v>209</v>
      </c>
      <c r="E11" s="15" t="str">
        <f>"1,2560"</f>
        <v>1,2560</v>
      </c>
      <c r="F11" s="15" t="s">
        <v>20</v>
      </c>
      <c r="G11" s="15" t="s">
        <v>37</v>
      </c>
      <c r="H11" s="16" t="s">
        <v>39</v>
      </c>
      <c r="I11" s="16" t="s">
        <v>70</v>
      </c>
      <c r="J11" s="18" t="s">
        <v>70</v>
      </c>
      <c r="K11" s="17"/>
      <c r="L11" s="18" t="s">
        <v>25</v>
      </c>
      <c r="M11" s="18" t="s">
        <v>27</v>
      </c>
      <c r="N11" s="16" t="s">
        <v>72</v>
      </c>
      <c r="O11" s="17"/>
      <c r="P11" s="18" t="s">
        <v>42</v>
      </c>
      <c r="Q11" s="18" t="s">
        <v>43</v>
      </c>
      <c r="R11" s="18" t="s">
        <v>60</v>
      </c>
      <c r="S11" s="17"/>
      <c r="T11" s="17" t="str">
        <f>"240,0"</f>
        <v>240,0</v>
      </c>
      <c r="U11" s="17" t="str">
        <f>"301,4400"</f>
        <v>301,4400</v>
      </c>
      <c r="V11" s="15" t="s">
        <v>92</v>
      </c>
    </row>
    <row r="12" ht="12.75">
      <c r="B12" s="5" t="s">
        <v>32</v>
      </c>
    </row>
    <row r="13" spans="1:21" ht="15">
      <c r="A13" s="45" t="s">
        <v>218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2" ht="12.75">
      <c r="A14" s="10" t="s">
        <v>16</v>
      </c>
      <c r="B14" s="7" t="s">
        <v>219</v>
      </c>
      <c r="C14" s="7" t="s">
        <v>220</v>
      </c>
      <c r="D14" s="7" t="s">
        <v>221</v>
      </c>
      <c r="E14" s="7" t="str">
        <f>"1,1849"</f>
        <v>1,1849</v>
      </c>
      <c r="F14" s="7" t="s">
        <v>20</v>
      </c>
      <c r="G14" s="7" t="s">
        <v>21</v>
      </c>
      <c r="H14" s="8" t="s">
        <v>27</v>
      </c>
      <c r="I14" s="9" t="s">
        <v>27</v>
      </c>
      <c r="J14" s="8" t="s">
        <v>52</v>
      </c>
      <c r="K14" s="10"/>
      <c r="L14" s="8" t="s">
        <v>204</v>
      </c>
      <c r="M14" s="9" t="s">
        <v>204</v>
      </c>
      <c r="N14" s="8" t="s">
        <v>111</v>
      </c>
      <c r="O14" s="10"/>
      <c r="P14" s="9" t="s">
        <v>39</v>
      </c>
      <c r="Q14" s="8" t="s">
        <v>41</v>
      </c>
      <c r="R14" s="9" t="s">
        <v>41</v>
      </c>
      <c r="S14" s="10"/>
      <c r="T14" s="10" t="str">
        <f>"170,0"</f>
        <v>170,0</v>
      </c>
      <c r="U14" s="10" t="str">
        <f>"201,4330"</f>
        <v>201,4330</v>
      </c>
      <c r="V14" s="7" t="s">
        <v>222</v>
      </c>
    </row>
    <row r="15" ht="12.75">
      <c r="B15" s="5" t="s">
        <v>32</v>
      </c>
    </row>
    <row r="16" spans="1:21" ht="15">
      <c r="A16" s="45" t="s">
        <v>80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2" ht="12.75">
      <c r="A17" s="10" t="s">
        <v>16</v>
      </c>
      <c r="B17" s="7" t="s">
        <v>223</v>
      </c>
      <c r="C17" s="7" t="s">
        <v>224</v>
      </c>
      <c r="D17" s="7" t="s">
        <v>225</v>
      </c>
      <c r="E17" s="7" t="str">
        <f>"1,1604"</f>
        <v>1,1604</v>
      </c>
      <c r="F17" s="7" t="s">
        <v>20</v>
      </c>
      <c r="G17" s="7" t="s">
        <v>226</v>
      </c>
      <c r="H17" s="9" t="s">
        <v>53</v>
      </c>
      <c r="I17" s="8" t="s">
        <v>63</v>
      </c>
      <c r="J17" s="8" t="s">
        <v>63</v>
      </c>
      <c r="K17" s="10"/>
      <c r="L17" s="9" t="s">
        <v>52</v>
      </c>
      <c r="M17" s="8" t="s">
        <v>205</v>
      </c>
      <c r="N17" s="8" t="s">
        <v>205</v>
      </c>
      <c r="O17" s="10"/>
      <c r="P17" s="9" t="s">
        <v>105</v>
      </c>
      <c r="Q17" s="9" t="s">
        <v>124</v>
      </c>
      <c r="R17" s="9" t="s">
        <v>98</v>
      </c>
      <c r="S17" s="10"/>
      <c r="T17" s="10" t="str">
        <f>"365,0"</f>
        <v>365,0</v>
      </c>
      <c r="U17" s="10" t="str">
        <f>"423,5460"</f>
        <v>423,5460</v>
      </c>
      <c r="V17" s="7" t="s">
        <v>31</v>
      </c>
    </row>
    <row r="18" ht="12.75">
      <c r="B18" s="5" t="s">
        <v>32</v>
      </c>
    </row>
    <row r="19" spans="1:21" ht="15">
      <c r="A19" s="45" t="s">
        <v>93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</row>
    <row r="20" spans="1:22" ht="12.75">
      <c r="A20" s="14" t="s">
        <v>16</v>
      </c>
      <c r="B20" s="11" t="s">
        <v>227</v>
      </c>
      <c r="C20" s="11" t="s">
        <v>228</v>
      </c>
      <c r="D20" s="11" t="s">
        <v>229</v>
      </c>
      <c r="E20" s="11" t="str">
        <f>"0,9563"</f>
        <v>0,9563</v>
      </c>
      <c r="F20" s="11" t="s">
        <v>20</v>
      </c>
      <c r="G20" s="11" t="s">
        <v>21</v>
      </c>
      <c r="H20" s="13" t="s">
        <v>38</v>
      </c>
      <c r="I20" s="12" t="s">
        <v>39</v>
      </c>
      <c r="J20" s="13" t="s">
        <v>39</v>
      </c>
      <c r="K20" s="14"/>
      <c r="L20" s="13" t="s">
        <v>202</v>
      </c>
      <c r="M20" s="13" t="s">
        <v>204</v>
      </c>
      <c r="N20" s="12" t="s">
        <v>111</v>
      </c>
      <c r="O20" s="14"/>
      <c r="P20" s="13" t="s">
        <v>39</v>
      </c>
      <c r="Q20" s="13" t="s">
        <v>42</v>
      </c>
      <c r="R20" s="13" t="s">
        <v>43</v>
      </c>
      <c r="S20" s="14"/>
      <c r="T20" s="14" t="str">
        <f>"210,0"</f>
        <v>210,0</v>
      </c>
      <c r="U20" s="14" t="str">
        <f>"200,8230"</f>
        <v>200,8230</v>
      </c>
      <c r="V20" s="11" t="s">
        <v>222</v>
      </c>
    </row>
    <row r="21" spans="1:22" ht="12.75">
      <c r="A21" s="17" t="s">
        <v>16</v>
      </c>
      <c r="B21" s="15" t="s">
        <v>230</v>
      </c>
      <c r="C21" s="15" t="s">
        <v>231</v>
      </c>
      <c r="D21" s="15" t="s">
        <v>232</v>
      </c>
      <c r="E21" s="15" t="str">
        <f>"0,9547"</f>
        <v>0,9547</v>
      </c>
      <c r="F21" s="15" t="s">
        <v>20</v>
      </c>
      <c r="G21" s="15" t="s">
        <v>233</v>
      </c>
      <c r="H21" s="18" t="s">
        <v>48</v>
      </c>
      <c r="I21" s="18" t="s">
        <v>28</v>
      </c>
      <c r="J21" s="16" t="s">
        <v>49</v>
      </c>
      <c r="K21" s="17"/>
      <c r="L21" s="18" t="s">
        <v>23</v>
      </c>
      <c r="M21" s="18" t="s">
        <v>39</v>
      </c>
      <c r="N21" s="16" t="s">
        <v>24</v>
      </c>
      <c r="O21" s="17"/>
      <c r="P21" s="18" t="s">
        <v>104</v>
      </c>
      <c r="Q21" s="18" t="s">
        <v>155</v>
      </c>
      <c r="R21" s="18" t="s">
        <v>123</v>
      </c>
      <c r="S21" s="17"/>
      <c r="T21" s="17" t="str">
        <f>"352,5"</f>
        <v>352,5</v>
      </c>
      <c r="U21" s="17" t="str">
        <f>"336,5317"</f>
        <v>336,5317</v>
      </c>
      <c r="V21" s="15" t="s">
        <v>31</v>
      </c>
    </row>
    <row r="22" ht="12.75">
      <c r="B22" s="5" t="s">
        <v>32</v>
      </c>
    </row>
    <row r="23" spans="1:21" ht="15">
      <c r="A23" s="45" t="s">
        <v>93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</row>
    <row r="24" spans="1:22" ht="12.75">
      <c r="A24" s="10" t="s">
        <v>16</v>
      </c>
      <c r="B24" s="7" t="s">
        <v>234</v>
      </c>
      <c r="C24" s="7" t="s">
        <v>235</v>
      </c>
      <c r="D24" s="7" t="s">
        <v>236</v>
      </c>
      <c r="E24" s="7" t="str">
        <f>"0,7193"</f>
        <v>0,7193</v>
      </c>
      <c r="F24" s="7" t="s">
        <v>20</v>
      </c>
      <c r="G24" s="7" t="s">
        <v>237</v>
      </c>
      <c r="H24" s="9" t="s">
        <v>123</v>
      </c>
      <c r="I24" s="8" t="s">
        <v>124</v>
      </c>
      <c r="J24" s="8" t="s">
        <v>124</v>
      </c>
      <c r="K24" s="10"/>
      <c r="L24" s="9" t="s">
        <v>49</v>
      </c>
      <c r="M24" s="9" t="s">
        <v>61</v>
      </c>
      <c r="N24" s="8" t="s">
        <v>62</v>
      </c>
      <c r="O24" s="10"/>
      <c r="P24" s="9" t="s">
        <v>130</v>
      </c>
      <c r="Q24" s="8" t="s">
        <v>90</v>
      </c>
      <c r="R24" s="8" t="s">
        <v>90</v>
      </c>
      <c r="S24" s="10"/>
      <c r="T24" s="10" t="str">
        <f>"475,0"</f>
        <v>475,0</v>
      </c>
      <c r="U24" s="10" t="str">
        <f>"341,6675"</f>
        <v>341,6675</v>
      </c>
      <c r="V24" s="7" t="s">
        <v>238</v>
      </c>
    </row>
    <row r="25" ht="12.75">
      <c r="B25" s="5" t="s">
        <v>32</v>
      </c>
    </row>
    <row r="26" spans="1:21" ht="15">
      <c r="A26" s="45" t="s">
        <v>119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2" ht="12.75">
      <c r="A27" s="14" t="s">
        <v>16</v>
      </c>
      <c r="B27" s="11" t="s">
        <v>239</v>
      </c>
      <c r="C27" s="11" t="s">
        <v>240</v>
      </c>
      <c r="D27" s="11" t="s">
        <v>241</v>
      </c>
      <c r="E27" s="11" t="str">
        <f>"0,6499"</f>
        <v>0,6499</v>
      </c>
      <c r="F27" s="11" t="s">
        <v>20</v>
      </c>
      <c r="G27" s="11" t="s">
        <v>21</v>
      </c>
      <c r="H27" s="13" t="s">
        <v>52</v>
      </c>
      <c r="I27" s="13" t="s">
        <v>38</v>
      </c>
      <c r="J27" s="12" t="s">
        <v>39</v>
      </c>
      <c r="K27" s="14"/>
      <c r="L27" s="13" t="s">
        <v>111</v>
      </c>
      <c r="M27" s="13" t="s">
        <v>25</v>
      </c>
      <c r="N27" s="12" t="s">
        <v>27</v>
      </c>
      <c r="O27" s="14"/>
      <c r="P27" s="13" t="s">
        <v>39</v>
      </c>
      <c r="Q27" s="13" t="s">
        <v>42</v>
      </c>
      <c r="R27" s="13" t="s">
        <v>43</v>
      </c>
      <c r="S27" s="14"/>
      <c r="T27" s="14" t="str">
        <f>"215,0"</f>
        <v>215,0</v>
      </c>
      <c r="U27" s="14" t="str">
        <f>"139,7285"</f>
        <v>139,7285</v>
      </c>
      <c r="V27" s="33" t="s">
        <v>31</v>
      </c>
    </row>
    <row r="28" spans="1:22" ht="12.75">
      <c r="A28" s="21" t="s">
        <v>16</v>
      </c>
      <c r="B28" s="19" t="s">
        <v>242</v>
      </c>
      <c r="C28" s="19" t="s">
        <v>243</v>
      </c>
      <c r="D28" s="19" t="s">
        <v>244</v>
      </c>
      <c r="E28" s="19" t="str">
        <f>"0,6597"</f>
        <v>0,6597</v>
      </c>
      <c r="F28" s="19" t="s">
        <v>20</v>
      </c>
      <c r="G28" s="19" t="s">
        <v>21</v>
      </c>
      <c r="H28" s="20" t="s">
        <v>63</v>
      </c>
      <c r="I28" s="20" t="s">
        <v>88</v>
      </c>
      <c r="J28" s="22" t="s">
        <v>245</v>
      </c>
      <c r="K28" s="21"/>
      <c r="L28" s="20" t="s">
        <v>42</v>
      </c>
      <c r="M28" s="22" t="s">
        <v>71</v>
      </c>
      <c r="N28" s="20" t="s">
        <v>71</v>
      </c>
      <c r="O28" s="21"/>
      <c r="P28" s="20" t="s">
        <v>155</v>
      </c>
      <c r="Q28" s="20" t="s">
        <v>246</v>
      </c>
      <c r="R28" s="20" t="s">
        <v>162</v>
      </c>
      <c r="S28" s="21"/>
      <c r="T28" s="21" t="str">
        <f>"420,0"</f>
        <v>420,0</v>
      </c>
      <c r="U28" s="21" t="str">
        <f>"277,0740"</f>
        <v>277,0740</v>
      </c>
      <c r="V28" s="19" t="s">
        <v>222</v>
      </c>
    </row>
    <row r="29" spans="1:22" ht="12.75">
      <c r="A29" s="17" t="s">
        <v>139</v>
      </c>
      <c r="B29" s="15" t="s">
        <v>247</v>
      </c>
      <c r="C29" s="15" t="s">
        <v>248</v>
      </c>
      <c r="D29" s="15" t="s">
        <v>249</v>
      </c>
      <c r="E29" s="15" t="str">
        <f>"0,6406"</f>
        <v>0,6406</v>
      </c>
      <c r="F29" s="15" t="s">
        <v>20</v>
      </c>
      <c r="G29" s="15" t="s">
        <v>237</v>
      </c>
      <c r="H29" s="16" t="s">
        <v>91</v>
      </c>
      <c r="I29" s="16" t="s">
        <v>91</v>
      </c>
      <c r="J29" s="16" t="s">
        <v>91</v>
      </c>
      <c r="K29" s="17"/>
      <c r="L29" s="16"/>
      <c r="M29" s="17"/>
      <c r="N29" s="17"/>
      <c r="O29" s="17"/>
      <c r="P29" s="16"/>
      <c r="Q29" s="17"/>
      <c r="R29" s="17"/>
      <c r="S29" s="17"/>
      <c r="T29" s="17" t="s">
        <v>143</v>
      </c>
      <c r="U29" s="17" t="str">
        <f>"0,0000"</f>
        <v>0,0000</v>
      </c>
      <c r="V29" s="15" t="s">
        <v>31</v>
      </c>
    </row>
    <row r="30" ht="12.75">
      <c r="B30" s="5" t="s">
        <v>32</v>
      </c>
    </row>
    <row r="31" spans="1:21" ht="15">
      <c r="A31" s="45" t="s">
        <v>145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 ht="12.75">
      <c r="A32" s="10" t="s">
        <v>16</v>
      </c>
      <c r="B32" s="7" t="s">
        <v>250</v>
      </c>
      <c r="C32" s="7" t="s">
        <v>251</v>
      </c>
      <c r="D32" s="7" t="s">
        <v>252</v>
      </c>
      <c r="E32" s="7" t="str">
        <f>"0,6169"</f>
        <v>0,6169</v>
      </c>
      <c r="F32" s="7" t="s">
        <v>20</v>
      </c>
      <c r="G32" s="7" t="s">
        <v>37</v>
      </c>
      <c r="H32" s="9" t="s">
        <v>124</v>
      </c>
      <c r="I32" s="9" t="s">
        <v>125</v>
      </c>
      <c r="J32" s="9" t="s">
        <v>106</v>
      </c>
      <c r="K32" s="10"/>
      <c r="L32" s="9" t="s">
        <v>62</v>
      </c>
      <c r="M32" s="9" t="s">
        <v>88</v>
      </c>
      <c r="N32" s="9" t="s">
        <v>104</v>
      </c>
      <c r="O32" s="10"/>
      <c r="P32" s="9" t="s">
        <v>253</v>
      </c>
      <c r="Q32" s="9" t="s">
        <v>161</v>
      </c>
      <c r="R32" s="9" t="s">
        <v>254</v>
      </c>
      <c r="S32" s="10"/>
      <c r="T32" s="10" t="str">
        <f>"570,0"</f>
        <v>570,0</v>
      </c>
      <c r="U32" s="10" t="str">
        <f>"379,0604"</f>
        <v>379,0604</v>
      </c>
      <c r="V32" s="7" t="s">
        <v>31</v>
      </c>
    </row>
    <row r="33" ht="12.75">
      <c r="B33" s="5" t="s">
        <v>32</v>
      </c>
    </row>
    <row r="34" spans="1:21" ht="15">
      <c r="A34" s="45" t="s">
        <v>156</v>
      </c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</row>
    <row r="35" spans="1:22" ht="12.75">
      <c r="A35" s="10" t="s">
        <v>16</v>
      </c>
      <c r="B35" s="7" t="s">
        <v>255</v>
      </c>
      <c r="C35" s="7" t="s">
        <v>256</v>
      </c>
      <c r="D35" s="7" t="s">
        <v>257</v>
      </c>
      <c r="E35" s="7" t="str">
        <f>"0,5960"</f>
        <v>0,5960</v>
      </c>
      <c r="F35" s="7" t="s">
        <v>20</v>
      </c>
      <c r="G35" s="7" t="s">
        <v>37</v>
      </c>
      <c r="H35" s="9" t="s">
        <v>149</v>
      </c>
      <c r="I35" s="9" t="s">
        <v>91</v>
      </c>
      <c r="J35" s="8" t="s">
        <v>161</v>
      </c>
      <c r="K35" s="10"/>
      <c r="L35" s="9" t="s">
        <v>63</v>
      </c>
      <c r="M35" s="8" t="s">
        <v>104</v>
      </c>
      <c r="N35" s="10"/>
      <c r="O35" s="10"/>
      <c r="P35" s="9" t="s">
        <v>51</v>
      </c>
      <c r="Q35" s="10"/>
      <c r="R35" s="10"/>
      <c r="S35" s="10"/>
      <c r="T35" s="10" t="str">
        <f>"420,0"</f>
        <v>420,0</v>
      </c>
      <c r="U35" s="10" t="str">
        <f>"251,5716"</f>
        <v>251,5716</v>
      </c>
      <c r="V35" s="7" t="s">
        <v>31</v>
      </c>
    </row>
    <row r="36" ht="12.75">
      <c r="B36" s="5" t="s">
        <v>32</v>
      </c>
    </row>
    <row r="37" spans="1:21" ht="15">
      <c r="A37" s="45" t="s">
        <v>169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</row>
    <row r="38" spans="1:22" ht="12.75">
      <c r="A38" s="10" t="s">
        <v>16</v>
      </c>
      <c r="B38" s="7" t="s">
        <v>258</v>
      </c>
      <c r="C38" s="7" t="s">
        <v>259</v>
      </c>
      <c r="D38" s="7" t="s">
        <v>260</v>
      </c>
      <c r="E38" s="7" t="str">
        <f>"0,5751"</f>
        <v>0,5751</v>
      </c>
      <c r="F38" s="7" t="s">
        <v>20</v>
      </c>
      <c r="G38" s="7" t="s">
        <v>37</v>
      </c>
      <c r="H38" s="8" t="s">
        <v>173</v>
      </c>
      <c r="I38" s="8" t="s">
        <v>163</v>
      </c>
      <c r="J38" s="9" t="s">
        <v>163</v>
      </c>
      <c r="K38" s="10"/>
      <c r="L38" s="9" t="s">
        <v>104</v>
      </c>
      <c r="M38" s="9" t="s">
        <v>155</v>
      </c>
      <c r="N38" s="8" t="s">
        <v>123</v>
      </c>
      <c r="O38" s="10"/>
      <c r="P38" s="9" t="s">
        <v>261</v>
      </c>
      <c r="Q38" s="9" t="s">
        <v>262</v>
      </c>
      <c r="R38" s="8" t="s">
        <v>263</v>
      </c>
      <c r="S38" s="10"/>
      <c r="T38" s="10" t="str">
        <f>"680,0"</f>
        <v>680,0</v>
      </c>
      <c r="U38" s="10" t="str">
        <f>"391,0680"</f>
        <v>391,0680</v>
      </c>
      <c r="V38" s="7" t="s">
        <v>31</v>
      </c>
    </row>
    <row r="39" ht="12.75">
      <c r="B39" s="5" t="s">
        <v>32</v>
      </c>
    </row>
    <row r="40" spans="2:6" ht="15">
      <c r="B40" s="5" t="s">
        <v>32</v>
      </c>
      <c r="F40" s="23"/>
    </row>
    <row r="41" ht="12.75">
      <c r="B41" s="5" t="s">
        <v>32</v>
      </c>
    </row>
  </sheetData>
  <sheetProtection/>
  <mergeCells count="24">
    <mergeCell ref="A37:U37"/>
    <mergeCell ref="B3:B4"/>
    <mergeCell ref="A16:U16"/>
    <mergeCell ref="A19:U19"/>
    <mergeCell ref="A23:U23"/>
    <mergeCell ref="A26:U26"/>
    <mergeCell ref="A31:U31"/>
    <mergeCell ref="A34:U34"/>
    <mergeCell ref="A5:U5"/>
    <mergeCell ref="A8:U8"/>
    <mergeCell ref="A13:U13"/>
    <mergeCell ref="A1:V2"/>
    <mergeCell ref="A3:A4"/>
    <mergeCell ref="C3:C4"/>
    <mergeCell ref="D3:D4"/>
    <mergeCell ref="E3:E4"/>
    <mergeCell ref="T3:T4"/>
    <mergeCell ref="U3:U4"/>
    <mergeCell ref="G3:G4"/>
    <mergeCell ref="H3:K3"/>
    <mergeCell ref="F3:F4"/>
    <mergeCell ref="L3:O3"/>
    <mergeCell ref="P3:S3"/>
    <mergeCell ref="V3:V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="82" zoomScaleNormal="82" zoomScalePageLayoutView="0" workbookViewId="0" topLeftCell="A1">
      <selection activeCell="I30" sqref="I30"/>
    </sheetView>
  </sheetViews>
  <sheetFormatPr defaultColWidth="9.125" defaultRowHeight="12.75"/>
  <cols>
    <col min="1" max="1" width="7.375" style="6" bestFit="1" customWidth="1"/>
    <col min="2" max="2" width="22.875" style="5" customWidth="1"/>
    <col min="3" max="3" width="29.87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3.375" style="5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8" width="5.625" style="6" bestFit="1" customWidth="1"/>
    <col min="19" max="19" width="4.875" style="6" bestFit="1" customWidth="1"/>
    <col min="20" max="20" width="10.125" style="6" customWidth="1"/>
    <col min="21" max="21" width="12.625" style="6" customWidth="1"/>
    <col min="22" max="22" width="22.00390625" style="5" bestFit="1" customWidth="1"/>
    <col min="23" max="16384" width="9.125" style="3" customWidth="1"/>
  </cols>
  <sheetData>
    <row r="1" spans="1:22" s="2" customFormat="1" ht="28.5" customHeight="1">
      <c r="A1" s="55" t="s">
        <v>264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/>
      <c r="J3" s="47"/>
      <c r="K3" s="47"/>
      <c r="L3" s="47" t="s">
        <v>9</v>
      </c>
      <c r="M3" s="47"/>
      <c r="N3" s="47"/>
      <c r="O3" s="47"/>
      <c r="P3" s="47" t="s">
        <v>10</v>
      </c>
      <c r="Q3" s="47"/>
      <c r="R3" s="47"/>
      <c r="S3" s="47"/>
      <c r="T3" s="47" t="s">
        <v>11</v>
      </c>
      <c r="U3" s="47" t="s">
        <v>12</v>
      </c>
      <c r="V3" s="51" t="s">
        <v>13</v>
      </c>
    </row>
    <row r="4" spans="1:22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4">
        <v>1</v>
      </c>
      <c r="Q4" s="44">
        <v>2</v>
      </c>
      <c r="R4" s="44">
        <v>3</v>
      </c>
      <c r="S4" s="44" t="s">
        <v>14</v>
      </c>
      <c r="T4" s="48"/>
      <c r="U4" s="48"/>
      <c r="V4" s="52"/>
    </row>
    <row r="5" spans="1:21" ht="15">
      <c r="A5" s="53" t="s">
        <v>80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2" ht="12.75">
      <c r="A6" s="10" t="s">
        <v>16</v>
      </c>
      <c r="B6" s="7" t="s">
        <v>265</v>
      </c>
      <c r="C6" s="7" t="s">
        <v>266</v>
      </c>
      <c r="D6" s="7" t="s">
        <v>267</v>
      </c>
      <c r="E6" s="7" t="str">
        <f>"1,1149"</f>
        <v>1,1149</v>
      </c>
      <c r="F6" s="7" t="s">
        <v>20</v>
      </c>
      <c r="G6" s="7" t="s">
        <v>37</v>
      </c>
      <c r="H6" s="9" t="s">
        <v>41</v>
      </c>
      <c r="I6" s="9" t="s">
        <v>43</v>
      </c>
      <c r="J6" s="9" t="s">
        <v>71</v>
      </c>
      <c r="K6" s="10"/>
      <c r="L6" s="9" t="s">
        <v>27</v>
      </c>
      <c r="M6" s="9" t="s">
        <v>78</v>
      </c>
      <c r="N6" s="8" t="s">
        <v>52</v>
      </c>
      <c r="O6" s="10"/>
      <c r="P6" s="9" t="s">
        <v>43</v>
      </c>
      <c r="Q6" s="9" t="s">
        <v>48</v>
      </c>
      <c r="R6" s="8" t="s">
        <v>30</v>
      </c>
      <c r="S6" s="10"/>
      <c r="T6" s="10" t="str">
        <f>"270,0"</f>
        <v>270,0</v>
      </c>
      <c r="U6" s="10" t="str">
        <f>"301,0230"</f>
        <v>301,0230</v>
      </c>
      <c r="V6" s="7" t="s">
        <v>31</v>
      </c>
    </row>
    <row r="7" ht="12.75">
      <c r="B7" s="5" t="s">
        <v>32</v>
      </c>
    </row>
    <row r="8" spans="1:21" ht="15">
      <c r="A8" s="45" t="s">
        <v>93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2" ht="12.75">
      <c r="A9" s="14" t="s">
        <v>16</v>
      </c>
      <c r="B9" s="11" t="s">
        <v>268</v>
      </c>
      <c r="C9" s="11" t="s">
        <v>269</v>
      </c>
      <c r="D9" s="11" t="s">
        <v>270</v>
      </c>
      <c r="E9" s="11" t="str">
        <f>"0,7278"</f>
        <v>0,7278</v>
      </c>
      <c r="F9" s="11" t="s">
        <v>20</v>
      </c>
      <c r="G9" s="11" t="s">
        <v>37</v>
      </c>
      <c r="H9" s="13" t="s">
        <v>125</v>
      </c>
      <c r="I9" s="12" t="s">
        <v>130</v>
      </c>
      <c r="J9" s="12" t="s">
        <v>130</v>
      </c>
      <c r="K9" s="14"/>
      <c r="L9" s="13" t="s">
        <v>53</v>
      </c>
      <c r="M9" s="12" t="s">
        <v>62</v>
      </c>
      <c r="N9" s="12" t="s">
        <v>62</v>
      </c>
      <c r="O9" s="14"/>
      <c r="P9" s="12" t="s">
        <v>130</v>
      </c>
      <c r="Q9" s="13" t="s">
        <v>130</v>
      </c>
      <c r="R9" s="12" t="s">
        <v>118</v>
      </c>
      <c r="S9" s="14"/>
      <c r="T9" s="14" t="str">
        <f>"500,0"</f>
        <v>500,0</v>
      </c>
      <c r="U9" s="14" t="str">
        <f>"363,9000"</f>
        <v>363,9000</v>
      </c>
      <c r="V9" s="11" t="s">
        <v>271</v>
      </c>
    </row>
    <row r="10" spans="1:22" ht="12.75">
      <c r="A10" s="17" t="s">
        <v>56</v>
      </c>
      <c r="B10" s="15" t="s">
        <v>272</v>
      </c>
      <c r="C10" s="15" t="s">
        <v>273</v>
      </c>
      <c r="D10" s="15" t="s">
        <v>274</v>
      </c>
      <c r="E10" s="15" t="str">
        <f>"0,7221"</f>
        <v>0,7221</v>
      </c>
      <c r="F10" s="15" t="s">
        <v>20</v>
      </c>
      <c r="G10" s="15" t="s">
        <v>37</v>
      </c>
      <c r="H10" s="18" t="s">
        <v>63</v>
      </c>
      <c r="I10" s="18" t="s">
        <v>245</v>
      </c>
      <c r="J10" s="18" t="s">
        <v>155</v>
      </c>
      <c r="K10" s="17"/>
      <c r="L10" s="18" t="s">
        <v>24</v>
      </c>
      <c r="M10" s="18" t="s">
        <v>41</v>
      </c>
      <c r="N10" s="16" t="s">
        <v>117</v>
      </c>
      <c r="O10" s="17"/>
      <c r="P10" s="18" t="s">
        <v>63</v>
      </c>
      <c r="Q10" s="18" t="s">
        <v>104</v>
      </c>
      <c r="R10" s="18" t="s">
        <v>132</v>
      </c>
      <c r="S10" s="17"/>
      <c r="T10" s="17" t="str">
        <f>"397,5"</f>
        <v>397,5</v>
      </c>
      <c r="U10" s="17" t="str">
        <f>"287,0348"</f>
        <v>287,0348</v>
      </c>
      <c r="V10" s="15" t="s">
        <v>31</v>
      </c>
    </row>
    <row r="11" ht="12.75">
      <c r="B11" s="5" t="s">
        <v>32</v>
      </c>
    </row>
    <row r="12" spans="1:21" ht="15">
      <c r="A12" s="45" t="s">
        <v>107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2" ht="12.75">
      <c r="A13" s="14" t="s">
        <v>16</v>
      </c>
      <c r="B13" s="11" t="s">
        <v>275</v>
      </c>
      <c r="C13" s="11" t="s">
        <v>276</v>
      </c>
      <c r="D13" s="11" t="s">
        <v>277</v>
      </c>
      <c r="E13" s="11" t="str">
        <f>"0,6888"</f>
        <v>0,6888</v>
      </c>
      <c r="F13" s="11" t="s">
        <v>20</v>
      </c>
      <c r="G13" s="11" t="s">
        <v>233</v>
      </c>
      <c r="H13" s="13" t="s">
        <v>62</v>
      </c>
      <c r="I13" s="13" t="s">
        <v>88</v>
      </c>
      <c r="J13" s="13" t="s">
        <v>116</v>
      </c>
      <c r="K13" s="14"/>
      <c r="L13" s="13" t="s">
        <v>70</v>
      </c>
      <c r="M13" s="13" t="s">
        <v>117</v>
      </c>
      <c r="N13" s="12" t="s">
        <v>89</v>
      </c>
      <c r="O13" s="14"/>
      <c r="P13" s="13" t="s">
        <v>88</v>
      </c>
      <c r="Q13" s="13" t="s">
        <v>116</v>
      </c>
      <c r="R13" s="13" t="s">
        <v>105</v>
      </c>
      <c r="S13" s="14"/>
      <c r="T13" s="14" t="str">
        <f>"415,0"</f>
        <v>415,0</v>
      </c>
      <c r="U13" s="14" t="str">
        <f>"285,8520"</f>
        <v>285,8520</v>
      </c>
      <c r="V13" s="11" t="s">
        <v>31</v>
      </c>
    </row>
    <row r="14" spans="1:22" ht="12.75">
      <c r="A14" s="21" t="s">
        <v>56</v>
      </c>
      <c r="B14" s="19" t="s">
        <v>278</v>
      </c>
      <c r="C14" s="19" t="s">
        <v>279</v>
      </c>
      <c r="D14" s="19" t="s">
        <v>280</v>
      </c>
      <c r="E14" s="19" t="str">
        <f>"0,6963"</f>
        <v>0,6963</v>
      </c>
      <c r="F14" s="19" t="s">
        <v>20</v>
      </c>
      <c r="G14" s="19" t="s">
        <v>233</v>
      </c>
      <c r="H14" s="20" t="s">
        <v>53</v>
      </c>
      <c r="I14" s="20" t="s">
        <v>63</v>
      </c>
      <c r="J14" s="20" t="s">
        <v>132</v>
      </c>
      <c r="K14" s="21"/>
      <c r="L14" s="20" t="s">
        <v>84</v>
      </c>
      <c r="M14" s="20" t="s">
        <v>24</v>
      </c>
      <c r="N14" s="22" t="s">
        <v>213</v>
      </c>
      <c r="O14" s="21"/>
      <c r="P14" s="20" t="s">
        <v>123</v>
      </c>
      <c r="Q14" s="20" t="s">
        <v>124</v>
      </c>
      <c r="R14" s="22" t="s">
        <v>281</v>
      </c>
      <c r="S14" s="21"/>
      <c r="T14" s="21" t="str">
        <f>"405,0"</f>
        <v>405,0</v>
      </c>
      <c r="U14" s="21" t="str">
        <f>"282,0015"</f>
        <v>282,0015</v>
      </c>
      <c r="V14" s="19" t="s">
        <v>31</v>
      </c>
    </row>
    <row r="15" spans="1:22" ht="12.75">
      <c r="A15" s="17" t="s">
        <v>16</v>
      </c>
      <c r="B15" s="15" t="s">
        <v>282</v>
      </c>
      <c r="C15" s="15" t="s">
        <v>283</v>
      </c>
      <c r="D15" s="15" t="s">
        <v>284</v>
      </c>
      <c r="E15" s="15" t="str">
        <f>"0,6822"</f>
        <v>0,6822</v>
      </c>
      <c r="F15" s="15" t="s">
        <v>20</v>
      </c>
      <c r="G15" s="15" t="s">
        <v>37</v>
      </c>
      <c r="H15" s="18" t="s">
        <v>125</v>
      </c>
      <c r="I15" s="18" t="s">
        <v>106</v>
      </c>
      <c r="J15" s="16" t="s">
        <v>130</v>
      </c>
      <c r="K15" s="17"/>
      <c r="L15" s="18" t="s">
        <v>29</v>
      </c>
      <c r="M15" s="18" t="s">
        <v>30</v>
      </c>
      <c r="N15" s="18" t="s">
        <v>50</v>
      </c>
      <c r="O15" s="17"/>
      <c r="P15" s="16" t="s">
        <v>124</v>
      </c>
      <c r="Q15" s="18" t="s">
        <v>98</v>
      </c>
      <c r="R15" s="18" t="s">
        <v>125</v>
      </c>
      <c r="S15" s="17"/>
      <c r="T15" s="17" t="str">
        <f>"487,5"</f>
        <v>487,5</v>
      </c>
      <c r="U15" s="17" t="str">
        <f>"332,5725"</f>
        <v>332,5725</v>
      </c>
      <c r="V15" s="15" t="s">
        <v>31</v>
      </c>
    </row>
    <row r="16" ht="12.75">
      <c r="B16" s="5" t="s">
        <v>32</v>
      </c>
    </row>
    <row r="17" spans="1:21" ht="15">
      <c r="A17" s="45" t="s">
        <v>145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</row>
    <row r="18" spans="1:22" ht="12.75">
      <c r="A18" s="10" t="s">
        <v>16</v>
      </c>
      <c r="B18" s="7" t="s">
        <v>285</v>
      </c>
      <c r="C18" s="7" t="s">
        <v>286</v>
      </c>
      <c r="D18" s="7" t="s">
        <v>287</v>
      </c>
      <c r="E18" s="7" t="str">
        <f>"0,6088"</f>
        <v>0,6088</v>
      </c>
      <c r="F18" s="7" t="s">
        <v>20</v>
      </c>
      <c r="G18" s="7" t="s">
        <v>37</v>
      </c>
      <c r="H18" s="9" t="s">
        <v>123</v>
      </c>
      <c r="I18" s="9" t="s">
        <v>98</v>
      </c>
      <c r="J18" s="9" t="s">
        <v>130</v>
      </c>
      <c r="K18" s="10"/>
      <c r="L18" s="9" t="s">
        <v>42</v>
      </c>
      <c r="M18" s="9" t="s">
        <v>71</v>
      </c>
      <c r="N18" s="8" t="s">
        <v>48</v>
      </c>
      <c r="O18" s="10"/>
      <c r="P18" s="9" t="s">
        <v>124</v>
      </c>
      <c r="Q18" s="9" t="s">
        <v>130</v>
      </c>
      <c r="R18" s="9" t="s">
        <v>149</v>
      </c>
      <c r="S18" s="10"/>
      <c r="T18" s="10" t="str">
        <f>"502,5"</f>
        <v>502,5</v>
      </c>
      <c r="U18" s="10" t="str">
        <f>"305,9220"</f>
        <v>305,9220</v>
      </c>
      <c r="V18" s="7" t="s">
        <v>31</v>
      </c>
    </row>
    <row r="19" ht="12.75">
      <c r="B19" s="5" t="s">
        <v>32</v>
      </c>
    </row>
    <row r="20" spans="1:21" ht="15">
      <c r="A20" s="45" t="s">
        <v>169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2" ht="12.75">
      <c r="A21" s="10" t="s">
        <v>139</v>
      </c>
      <c r="B21" s="7" t="s">
        <v>288</v>
      </c>
      <c r="C21" s="7" t="s">
        <v>289</v>
      </c>
      <c r="D21" s="7" t="s">
        <v>290</v>
      </c>
      <c r="E21" s="7" t="str">
        <f>"0,5777"</f>
        <v>0,5777</v>
      </c>
      <c r="F21" s="7" t="s">
        <v>20</v>
      </c>
      <c r="G21" s="7" t="s">
        <v>21</v>
      </c>
      <c r="H21" s="8" t="s">
        <v>161</v>
      </c>
      <c r="I21" s="8" t="s">
        <v>254</v>
      </c>
      <c r="J21" s="8" t="s">
        <v>291</v>
      </c>
      <c r="K21" s="10"/>
      <c r="L21" s="8"/>
      <c r="M21" s="10"/>
      <c r="N21" s="10"/>
      <c r="O21" s="10"/>
      <c r="P21" s="8"/>
      <c r="Q21" s="10"/>
      <c r="R21" s="10"/>
      <c r="S21" s="10"/>
      <c r="T21" s="10" t="s">
        <v>143</v>
      </c>
      <c r="U21" s="10" t="str">
        <f>"0,0000"</f>
        <v>0,0000</v>
      </c>
      <c r="V21" s="7" t="s">
        <v>64</v>
      </c>
    </row>
    <row r="22" ht="12.75">
      <c r="B22" s="5" t="s">
        <v>32</v>
      </c>
    </row>
  </sheetData>
  <sheetProtection/>
  <mergeCells count="19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V3:V4"/>
    <mergeCell ref="A17:U17"/>
    <mergeCell ref="A20:U20"/>
    <mergeCell ref="B3:B4"/>
    <mergeCell ref="T3:T4"/>
    <mergeCell ref="U3:U4"/>
    <mergeCell ref="A5:U5"/>
    <mergeCell ref="A8:U8"/>
    <mergeCell ref="A12:U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81" zoomScaleNormal="81" zoomScalePageLayoutView="0" workbookViewId="0" topLeftCell="A1">
      <selection activeCell="O17" sqref="O17"/>
    </sheetView>
  </sheetViews>
  <sheetFormatPr defaultColWidth="9.125" defaultRowHeight="12.75"/>
  <cols>
    <col min="1" max="1" width="7.375" style="6" bestFit="1" customWidth="1"/>
    <col min="2" max="2" width="22.625" style="5" customWidth="1"/>
    <col min="3" max="3" width="31.0039062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00390625" style="5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9" width="5.625" style="6" bestFit="1" customWidth="1"/>
    <col min="20" max="20" width="9.375" style="6" customWidth="1"/>
    <col min="21" max="21" width="11.875" style="6" customWidth="1"/>
    <col min="22" max="22" width="22.00390625" style="5" bestFit="1" customWidth="1"/>
    <col min="23" max="16384" width="9.125" style="3" customWidth="1"/>
  </cols>
  <sheetData>
    <row r="1" spans="1:22" s="2" customFormat="1" ht="28.5" customHeight="1">
      <c r="A1" s="55" t="s">
        <v>292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8"/>
    </row>
    <row r="2" spans="1:22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</row>
    <row r="3" spans="1:22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8</v>
      </c>
      <c r="I3" s="47"/>
      <c r="J3" s="47"/>
      <c r="K3" s="47"/>
      <c r="L3" s="47" t="s">
        <v>9</v>
      </c>
      <c r="M3" s="47"/>
      <c r="N3" s="47"/>
      <c r="O3" s="47"/>
      <c r="P3" s="47" t="s">
        <v>10</v>
      </c>
      <c r="Q3" s="47"/>
      <c r="R3" s="47"/>
      <c r="S3" s="47"/>
      <c r="T3" s="47" t="s">
        <v>11</v>
      </c>
      <c r="U3" s="47" t="s">
        <v>12</v>
      </c>
      <c r="V3" s="51" t="s">
        <v>13</v>
      </c>
    </row>
    <row r="4" spans="1:22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4">
        <v>1</v>
      </c>
      <c r="Q4" s="44">
        <v>2</v>
      </c>
      <c r="R4" s="44">
        <v>3</v>
      </c>
      <c r="S4" s="44" t="s">
        <v>14</v>
      </c>
      <c r="T4" s="48"/>
      <c r="U4" s="48"/>
      <c r="V4" s="52"/>
    </row>
    <row r="5" spans="1:21" ht="15">
      <c r="A5" s="53" t="s">
        <v>93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2" ht="12.75">
      <c r="A6" s="10" t="s">
        <v>139</v>
      </c>
      <c r="B6" s="7" t="s">
        <v>293</v>
      </c>
      <c r="C6" s="7" t="s">
        <v>294</v>
      </c>
      <c r="D6" s="7" t="s">
        <v>232</v>
      </c>
      <c r="E6" s="7" t="str">
        <f>"0,9547"</f>
        <v>0,9547</v>
      </c>
      <c r="F6" s="7" t="s">
        <v>20</v>
      </c>
      <c r="G6" s="7" t="s">
        <v>37</v>
      </c>
      <c r="H6" s="8" t="s">
        <v>149</v>
      </c>
      <c r="I6" s="8" t="s">
        <v>149</v>
      </c>
      <c r="J6" s="9" t="s">
        <v>100</v>
      </c>
      <c r="K6" s="10"/>
      <c r="L6" s="8" t="s">
        <v>60</v>
      </c>
      <c r="M6" s="8" t="s">
        <v>60</v>
      </c>
      <c r="N6" s="8" t="s">
        <v>60</v>
      </c>
      <c r="O6" s="10"/>
      <c r="P6" s="8"/>
      <c r="Q6" s="10"/>
      <c r="R6" s="10"/>
      <c r="S6" s="10"/>
      <c r="T6" s="10" t="s">
        <v>143</v>
      </c>
      <c r="U6" s="10" t="str">
        <f>"0,0000"</f>
        <v>0,0000</v>
      </c>
      <c r="V6" s="7" t="s">
        <v>295</v>
      </c>
    </row>
    <row r="7" ht="12.75">
      <c r="B7" s="5" t="s">
        <v>32</v>
      </c>
    </row>
    <row r="8" spans="1:21" ht="15">
      <c r="A8" s="45" t="s">
        <v>93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2" ht="12.75">
      <c r="A9" s="14" t="s">
        <v>16</v>
      </c>
      <c r="B9" s="11" t="s">
        <v>296</v>
      </c>
      <c r="C9" s="11" t="s">
        <v>297</v>
      </c>
      <c r="D9" s="11" t="s">
        <v>298</v>
      </c>
      <c r="E9" s="11" t="str">
        <f>"0,7166"</f>
        <v>0,7166</v>
      </c>
      <c r="F9" s="11" t="s">
        <v>20</v>
      </c>
      <c r="G9" s="11" t="s">
        <v>37</v>
      </c>
      <c r="H9" s="12" t="s">
        <v>149</v>
      </c>
      <c r="I9" s="13" t="s">
        <v>149</v>
      </c>
      <c r="J9" s="12" t="s">
        <v>91</v>
      </c>
      <c r="K9" s="14"/>
      <c r="L9" s="13" t="s">
        <v>30</v>
      </c>
      <c r="M9" s="13" t="s">
        <v>73</v>
      </c>
      <c r="N9" s="12" t="s">
        <v>299</v>
      </c>
      <c r="O9" s="14"/>
      <c r="P9" s="13" t="s">
        <v>253</v>
      </c>
      <c r="Q9" s="13" t="s">
        <v>161</v>
      </c>
      <c r="R9" s="12" t="s">
        <v>300</v>
      </c>
      <c r="S9" s="14"/>
      <c r="T9" s="14" t="str">
        <f>"567,5"</f>
        <v>567,5</v>
      </c>
      <c r="U9" s="14" t="str">
        <f>"406,6705"</f>
        <v>406,6705</v>
      </c>
      <c r="V9" s="11" t="s">
        <v>301</v>
      </c>
    </row>
    <row r="10" spans="1:22" ht="12.75">
      <c r="A10" s="17"/>
      <c r="B10" s="15" t="s">
        <v>302</v>
      </c>
      <c r="C10" s="15" t="s">
        <v>303</v>
      </c>
      <c r="D10" s="15" t="s">
        <v>304</v>
      </c>
      <c r="E10" s="15" t="str">
        <f>"0,7552"</f>
        <v>0,7552</v>
      </c>
      <c r="F10" s="15" t="s">
        <v>20</v>
      </c>
      <c r="G10" s="15" t="s">
        <v>129</v>
      </c>
      <c r="H10" s="16" t="s">
        <v>124</v>
      </c>
      <c r="I10" s="16" t="s">
        <v>124</v>
      </c>
      <c r="J10" s="16" t="s">
        <v>124</v>
      </c>
      <c r="K10" s="17"/>
      <c r="L10" s="16"/>
      <c r="M10" s="17"/>
      <c r="N10" s="17"/>
      <c r="O10" s="17"/>
      <c r="P10" s="16"/>
      <c r="Q10" s="17"/>
      <c r="R10" s="17"/>
      <c r="S10" s="17"/>
      <c r="T10" s="17" t="s">
        <v>143</v>
      </c>
      <c r="U10" s="17" t="str">
        <f>"0,0000"</f>
        <v>0,0000</v>
      </c>
      <c r="V10" s="15" t="s">
        <v>31</v>
      </c>
    </row>
    <row r="11" ht="12.75">
      <c r="B11" s="5" t="s">
        <v>32</v>
      </c>
    </row>
    <row r="12" spans="1:21" ht="15">
      <c r="A12" s="45" t="s">
        <v>107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2" ht="12.75">
      <c r="A13" s="14" t="s">
        <v>16</v>
      </c>
      <c r="B13" s="11" t="s">
        <v>305</v>
      </c>
      <c r="C13" s="11" t="s">
        <v>306</v>
      </c>
      <c r="D13" s="11" t="s">
        <v>307</v>
      </c>
      <c r="E13" s="11" t="str">
        <f>"0,6827"</f>
        <v>0,6827</v>
      </c>
      <c r="F13" s="11" t="s">
        <v>20</v>
      </c>
      <c r="G13" s="11" t="s">
        <v>129</v>
      </c>
      <c r="H13" s="13" t="s">
        <v>100</v>
      </c>
      <c r="I13" s="13" t="s">
        <v>133</v>
      </c>
      <c r="J13" s="12" t="s">
        <v>161</v>
      </c>
      <c r="K13" s="14"/>
      <c r="L13" s="13" t="s">
        <v>55</v>
      </c>
      <c r="M13" s="13" t="s">
        <v>104</v>
      </c>
      <c r="N13" s="12" t="s">
        <v>155</v>
      </c>
      <c r="O13" s="14"/>
      <c r="P13" s="13" t="s">
        <v>253</v>
      </c>
      <c r="Q13" s="13" t="s">
        <v>308</v>
      </c>
      <c r="R13" s="12" t="s">
        <v>309</v>
      </c>
      <c r="S13" s="14"/>
      <c r="T13" s="14" t="str">
        <f>"600,0"</f>
        <v>600,0</v>
      </c>
      <c r="U13" s="14" t="str">
        <f>"409,6200"</f>
        <v>409,6200</v>
      </c>
      <c r="V13" s="11" t="s">
        <v>31</v>
      </c>
    </row>
    <row r="14" spans="1:22" ht="12.75">
      <c r="A14" s="17" t="s">
        <v>139</v>
      </c>
      <c r="B14" s="15" t="s">
        <v>310</v>
      </c>
      <c r="C14" s="15" t="s">
        <v>311</v>
      </c>
      <c r="D14" s="15" t="s">
        <v>284</v>
      </c>
      <c r="E14" s="15" t="str">
        <f>"0,6822"</f>
        <v>0,6822</v>
      </c>
      <c r="F14" s="15" t="s">
        <v>20</v>
      </c>
      <c r="G14" s="15" t="s">
        <v>129</v>
      </c>
      <c r="H14" s="18" t="s">
        <v>100</v>
      </c>
      <c r="I14" s="18" t="s">
        <v>91</v>
      </c>
      <c r="J14" s="16" t="s">
        <v>254</v>
      </c>
      <c r="K14" s="17"/>
      <c r="L14" s="18" t="s">
        <v>88</v>
      </c>
      <c r="M14" s="18" t="s">
        <v>104</v>
      </c>
      <c r="N14" s="16" t="s">
        <v>155</v>
      </c>
      <c r="O14" s="17"/>
      <c r="P14" s="16" t="s">
        <v>161</v>
      </c>
      <c r="Q14" s="16" t="s">
        <v>161</v>
      </c>
      <c r="R14" s="16" t="s">
        <v>161</v>
      </c>
      <c r="S14" s="17"/>
      <c r="T14" s="17" t="s">
        <v>143</v>
      </c>
      <c r="U14" s="17" t="str">
        <f>"0,0000"</f>
        <v>0,0000</v>
      </c>
      <c r="V14" s="15" t="s">
        <v>31</v>
      </c>
    </row>
    <row r="15" ht="12.75">
      <c r="B15" s="5" t="s">
        <v>32</v>
      </c>
    </row>
    <row r="16" spans="1:21" ht="15">
      <c r="A16" s="45" t="s">
        <v>119</v>
      </c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</row>
    <row r="17" spans="1:22" ht="12.75">
      <c r="A17" s="14" t="s">
        <v>16</v>
      </c>
      <c r="B17" s="11" t="s">
        <v>312</v>
      </c>
      <c r="C17" s="11" t="s">
        <v>313</v>
      </c>
      <c r="D17" s="11" t="s">
        <v>314</v>
      </c>
      <c r="E17" s="11" t="str">
        <f>"0,6455"</f>
        <v>0,6455</v>
      </c>
      <c r="F17" s="11" t="s">
        <v>20</v>
      </c>
      <c r="G17" s="11" t="s">
        <v>233</v>
      </c>
      <c r="H17" s="12" t="s">
        <v>100</v>
      </c>
      <c r="I17" s="13" t="s">
        <v>100</v>
      </c>
      <c r="J17" s="13" t="s">
        <v>161</v>
      </c>
      <c r="K17" s="14"/>
      <c r="L17" s="13" t="s">
        <v>88</v>
      </c>
      <c r="M17" s="13" t="s">
        <v>155</v>
      </c>
      <c r="N17" s="13" t="s">
        <v>246</v>
      </c>
      <c r="O17" s="14"/>
      <c r="P17" s="13" t="s">
        <v>149</v>
      </c>
      <c r="Q17" s="13" t="s">
        <v>253</v>
      </c>
      <c r="R17" s="13" t="s">
        <v>161</v>
      </c>
      <c r="S17" s="14"/>
      <c r="T17" s="14" t="str">
        <f>"622,5"</f>
        <v>622,5</v>
      </c>
      <c r="U17" s="14" t="str">
        <f>"401,8238"</f>
        <v>401,8238</v>
      </c>
      <c r="V17" s="11" t="s">
        <v>31</v>
      </c>
    </row>
    <row r="18" spans="1:22" ht="12.75">
      <c r="A18" s="17" t="s">
        <v>16</v>
      </c>
      <c r="B18" s="15" t="s">
        <v>315</v>
      </c>
      <c r="C18" s="15" t="s">
        <v>316</v>
      </c>
      <c r="D18" s="15" t="s">
        <v>317</v>
      </c>
      <c r="E18" s="15" t="str">
        <f>"0,6421"</f>
        <v>0,6421</v>
      </c>
      <c r="F18" s="15" t="s">
        <v>20</v>
      </c>
      <c r="G18" s="15" t="s">
        <v>37</v>
      </c>
      <c r="H18" s="18" t="s">
        <v>149</v>
      </c>
      <c r="I18" s="18" t="s">
        <v>91</v>
      </c>
      <c r="J18" s="16" t="s">
        <v>254</v>
      </c>
      <c r="K18" s="17"/>
      <c r="L18" s="18" t="s">
        <v>53</v>
      </c>
      <c r="M18" s="18" t="s">
        <v>88</v>
      </c>
      <c r="N18" s="18" t="s">
        <v>155</v>
      </c>
      <c r="O18" s="17"/>
      <c r="P18" s="18" t="s">
        <v>125</v>
      </c>
      <c r="Q18" s="18" t="s">
        <v>118</v>
      </c>
      <c r="R18" s="18" t="s">
        <v>91</v>
      </c>
      <c r="S18" s="17"/>
      <c r="T18" s="17" t="str">
        <f>"605,0"</f>
        <v>605,0</v>
      </c>
      <c r="U18" s="17" t="str">
        <f>"399,3477"</f>
        <v>399,3477</v>
      </c>
      <c r="V18" s="15" t="s">
        <v>31</v>
      </c>
    </row>
    <row r="19" ht="12.75">
      <c r="B19" s="5" t="s">
        <v>32</v>
      </c>
    </row>
    <row r="20" spans="1:21" ht="15">
      <c r="A20" s="45" t="s">
        <v>145</v>
      </c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</row>
    <row r="21" spans="1:22" ht="12.75">
      <c r="A21" s="14" t="s">
        <v>16</v>
      </c>
      <c r="B21" s="11" t="s">
        <v>318</v>
      </c>
      <c r="C21" s="11" t="s">
        <v>319</v>
      </c>
      <c r="D21" s="11" t="s">
        <v>320</v>
      </c>
      <c r="E21" s="11" t="str">
        <f>"0,6209"</f>
        <v>0,6209</v>
      </c>
      <c r="F21" s="11" t="s">
        <v>20</v>
      </c>
      <c r="G21" s="11" t="s">
        <v>233</v>
      </c>
      <c r="H21" s="13" t="s">
        <v>161</v>
      </c>
      <c r="I21" s="13" t="s">
        <v>173</v>
      </c>
      <c r="J21" s="13" t="s">
        <v>321</v>
      </c>
      <c r="K21" s="14"/>
      <c r="L21" s="13" t="s">
        <v>61</v>
      </c>
      <c r="M21" s="13" t="s">
        <v>299</v>
      </c>
      <c r="N21" s="13" t="s">
        <v>63</v>
      </c>
      <c r="O21" s="14"/>
      <c r="P21" s="13" t="s">
        <v>161</v>
      </c>
      <c r="Q21" s="13" t="s">
        <v>173</v>
      </c>
      <c r="R21" s="12" t="s">
        <v>321</v>
      </c>
      <c r="S21" s="14"/>
      <c r="T21" s="14" t="str">
        <f>"630,0"</f>
        <v>630,0</v>
      </c>
      <c r="U21" s="14" t="str">
        <f>"391,1670"</f>
        <v>391,1670</v>
      </c>
      <c r="V21" s="11" t="s">
        <v>31</v>
      </c>
    </row>
    <row r="22" spans="1:22" ht="12.75">
      <c r="A22" s="21" t="s">
        <v>16</v>
      </c>
      <c r="B22" s="19" t="s">
        <v>322</v>
      </c>
      <c r="C22" s="19" t="s">
        <v>323</v>
      </c>
      <c r="D22" s="19" t="s">
        <v>324</v>
      </c>
      <c r="E22" s="19" t="str">
        <f>"0,6152"</f>
        <v>0,6152</v>
      </c>
      <c r="F22" s="19" t="s">
        <v>20</v>
      </c>
      <c r="G22" s="19" t="s">
        <v>37</v>
      </c>
      <c r="H22" s="20" t="s">
        <v>325</v>
      </c>
      <c r="I22" s="20" t="s">
        <v>326</v>
      </c>
      <c r="J22" s="20" t="s">
        <v>327</v>
      </c>
      <c r="K22" s="21"/>
      <c r="L22" s="20" t="s">
        <v>98</v>
      </c>
      <c r="M22" s="20" t="s">
        <v>106</v>
      </c>
      <c r="N22" s="21"/>
      <c r="O22" s="21"/>
      <c r="P22" s="20" t="s">
        <v>328</v>
      </c>
      <c r="Q22" s="22" t="s">
        <v>329</v>
      </c>
      <c r="R22" s="20" t="s">
        <v>330</v>
      </c>
      <c r="S22" s="20" t="s">
        <v>331</v>
      </c>
      <c r="T22" s="21" t="str">
        <f>"855,0"</f>
        <v>855,0</v>
      </c>
      <c r="U22" s="21" t="str">
        <f>"525,9960"</f>
        <v>525,9960</v>
      </c>
      <c r="V22" s="19" t="s">
        <v>31</v>
      </c>
    </row>
    <row r="23" spans="1:22" ht="12.75">
      <c r="A23" s="21" t="s">
        <v>56</v>
      </c>
      <c r="B23" s="19" t="s">
        <v>332</v>
      </c>
      <c r="C23" s="19" t="s">
        <v>333</v>
      </c>
      <c r="D23" s="19" t="s">
        <v>334</v>
      </c>
      <c r="E23" s="19" t="str">
        <f>"0,6129"</f>
        <v>0,6129</v>
      </c>
      <c r="F23" s="19" t="s">
        <v>20</v>
      </c>
      <c r="G23" s="19" t="s">
        <v>37</v>
      </c>
      <c r="H23" s="22" t="s">
        <v>173</v>
      </c>
      <c r="I23" s="20" t="s">
        <v>173</v>
      </c>
      <c r="J23" s="22" t="s">
        <v>321</v>
      </c>
      <c r="K23" s="21"/>
      <c r="L23" s="20" t="s">
        <v>63</v>
      </c>
      <c r="M23" s="22" t="s">
        <v>104</v>
      </c>
      <c r="N23" s="20" t="s">
        <v>155</v>
      </c>
      <c r="O23" s="21"/>
      <c r="P23" s="20" t="s">
        <v>173</v>
      </c>
      <c r="Q23" s="20" t="s">
        <v>321</v>
      </c>
      <c r="R23" s="20" t="s">
        <v>164</v>
      </c>
      <c r="S23" s="21"/>
      <c r="T23" s="21" t="str">
        <f>"655,0"</f>
        <v>655,0</v>
      </c>
      <c r="U23" s="21" t="str">
        <f>"401,4495"</f>
        <v>401,4495</v>
      </c>
      <c r="V23" s="19" t="s">
        <v>31</v>
      </c>
    </row>
    <row r="24" spans="1:22" ht="12.75">
      <c r="A24" s="21" t="s">
        <v>139</v>
      </c>
      <c r="B24" s="19" t="s">
        <v>335</v>
      </c>
      <c r="C24" s="19" t="s">
        <v>336</v>
      </c>
      <c r="D24" s="19" t="s">
        <v>337</v>
      </c>
      <c r="E24" s="19" t="str">
        <f>"0,6139"</f>
        <v>0,6139</v>
      </c>
      <c r="F24" s="19" t="s">
        <v>20</v>
      </c>
      <c r="G24" s="19" t="s">
        <v>37</v>
      </c>
      <c r="H24" s="22" t="s">
        <v>253</v>
      </c>
      <c r="I24" s="22" t="s">
        <v>161</v>
      </c>
      <c r="J24" s="22" t="s">
        <v>321</v>
      </c>
      <c r="K24" s="21"/>
      <c r="L24" s="22"/>
      <c r="M24" s="21"/>
      <c r="N24" s="21"/>
      <c r="O24" s="21"/>
      <c r="P24" s="22"/>
      <c r="Q24" s="21"/>
      <c r="R24" s="21"/>
      <c r="S24" s="21"/>
      <c r="T24" s="21" t="s">
        <v>143</v>
      </c>
      <c r="U24" s="21" t="str">
        <f>"0,0000"</f>
        <v>0,0000</v>
      </c>
      <c r="V24" s="19" t="s">
        <v>64</v>
      </c>
    </row>
    <row r="25" spans="1:22" ht="12.75">
      <c r="A25" s="21" t="s">
        <v>139</v>
      </c>
      <c r="B25" s="19" t="s">
        <v>338</v>
      </c>
      <c r="C25" s="19" t="s">
        <v>339</v>
      </c>
      <c r="D25" s="19" t="s">
        <v>334</v>
      </c>
      <c r="E25" s="19" t="str">
        <f>"0,6129"</f>
        <v>0,6129</v>
      </c>
      <c r="F25" s="19" t="s">
        <v>20</v>
      </c>
      <c r="G25" s="19" t="s">
        <v>129</v>
      </c>
      <c r="H25" s="22" t="s">
        <v>340</v>
      </c>
      <c r="I25" s="22" t="s">
        <v>253</v>
      </c>
      <c r="J25" s="22" t="s">
        <v>253</v>
      </c>
      <c r="K25" s="21"/>
      <c r="L25" s="22"/>
      <c r="M25" s="21"/>
      <c r="N25" s="21"/>
      <c r="O25" s="21"/>
      <c r="P25" s="22"/>
      <c r="Q25" s="21"/>
      <c r="R25" s="21"/>
      <c r="S25" s="21"/>
      <c r="T25" s="21" t="s">
        <v>143</v>
      </c>
      <c r="U25" s="21" t="str">
        <f>"0,0000"</f>
        <v>0,0000</v>
      </c>
      <c r="V25" s="19" t="s">
        <v>134</v>
      </c>
    </row>
    <row r="26" spans="1:22" ht="12.75">
      <c r="A26" s="17" t="s">
        <v>16</v>
      </c>
      <c r="B26" s="15" t="s">
        <v>341</v>
      </c>
      <c r="C26" s="15" t="s">
        <v>342</v>
      </c>
      <c r="D26" s="15" t="s">
        <v>343</v>
      </c>
      <c r="E26" s="15" t="str">
        <f>"0,6098"</f>
        <v>0,6098</v>
      </c>
      <c r="F26" s="15" t="s">
        <v>20</v>
      </c>
      <c r="G26" s="15" t="s">
        <v>37</v>
      </c>
      <c r="H26" s="16" t="s">
        <v>253</v>
      </c>
      <c r="I26" s="18" t="s">
        <v>253</v>
      </c>
      <c r="J26" s="18" t="s">
        <v>161</v>
      </c>
      <c r="K26" s="17"/>
      <c r="L26" s="18" t="s">
        <v>155</v>
      </c>
      <c r="M26" s="18" t="s">
        <v>105</v>
      </c>
      <c r="N26" s="16" t="s">
        <v>124</v>
      </c>
      <c r="O26" s="17"/>
      <c r="P26" s="18" t="s">
        <v>321</v>
      </c>
      <c r="Q26" s="16" t="s">
        <v>164</v>
      </c>
      <c r="R26" s="18" t="s">
        <v>165</v>
      </c>
      <c r="S26" s="17"/>
      <c r="T26" s="17" t="str">
        <f>"665,0"</f>
        <v>665,0</v>
      </c>
      <c r="U26" s="17" t="str">
        <f>"405,5170"</f>
        <v>405,5170</v>
      </c>
      <c r="V26" s="15" t="s">
        <v>31</v>
      </c>
    </row>
    <row r="27" ht="12.75">
      <c r="B27" s="5" t="s">
        <v>32</v>
      </c>
    </row>
    <row r="28" spans="1:21" ht="15">
      <c r="A28" s="45" t="s">
        <v>156</v>
      </c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2" ht="12.75">
      <c r="A29" s="10" t="s">
        <v>16</v>
      </c>
      <c r="B29" s="7" t="s">
        <v>344</v>
      </c>
      <c r="C29" s="7" t="s">
        <v>345</v>
      </c>
      <c r="D29" s="7" t="s">
        <v>159</v>
      </c>
      <c r="E29" s="7" t="str">
        <f>"0,5946"</f>
        <v>0,5946</v>
      </c>
      <c r="F29" s="7" t="s">
        <v>20</v>
      </c>
      <c r="G29" s="7" t="s">
        <v>37</v>
      </c>
      <c r="H29" s="9" t="s">
        <v>164</v>
      </c>
      <c r="I29" s="9" t="s">
        <v>262</v>
      </c>
      <c r="J29" s="8" t="s">
        <v>325</v>
      </c>
      <c r="K29" s="10"/>
      <c r="L29" s="9" t="s">
        <v>63</v>
      </c>
      <c r="M29" s="9" t="s">
        <v>104</v>
      </c>
      <c r="N29" s="10"/>
      <c r="O29" s="10"/>
      <c r="P29" s="9" t="s">
        <v>164</v>
      </c>
      <c r="Q29" s="8" t="s">
        <v>262</v>
      </c>
      <c r="R29" s="8" t="s">
        <v>346</v>
      </c>
      <c r="S29" s="10"/>
      <c r="T29" s="10" t="str">
        <f>"690,0"</f>
        <v>690,0</v>
      </c>
      <c r="U29" s="10" t="str">
        <f>"410,2740"</f>
        <v>410,2740</v>
      </c>
      <c r="V29" s="7" t="s">
        <v>31</v>
      </c>
    </row>
    <row r="30" ht="12.75">
      <c r="B30" s="5" t="s">
        <v>32</v>
      </c>
    </row>
    <row r="31" spans="1:21" ht="15">
      <c r="A31" s="45" t="s">
        <v>347</v>
      </c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</row>
    <row r="32" spans="1:22" ht="12.75">
      <c r="A32" s="10" t="s">
        <v>16</v>
      </c>
      <c r="B32" s="7" t="s">
        <v>348</v>
      </c>
      <c r="C32" s="7" t="s">
        <v>349</v>
      </c>
      <c r="D32" s="7" t="s">
        <v>350</v>
      </c>
      <c r="E32" s="7" t="str">
        <f>"0,5654"</f>
        <v>0,5654</v>
      </c>
      <c r="F32" s="7" t="s">
        <v>20</v>
      </c>
      <c r="G32" s="7" t="s">
        <v>233</v>
      </c>
      <c r="H32" s="9" t="s">
        <v>331</v>
      </c>
      <c r="I32" s="9" t="s">
        <v>351</v>
      </c>
      <c r="J32" s="9" t="s">
        <v>352</v>
      </c>
      <c r="K32" s="10"/>
      <c r="L32" s="9" t="s">
        <v>125</v>
      </c>
      <c r="M32" s="10"/>
      <c r="N32" s="10"/>
      <c r="O32" s="10"/>
      <c r="P32" s="9" t="s">
        <v>325</v>
      </c>
      <c r="Q32" s="9" t="s">
        <v>328</v>
      </c>
      <c r="R32" s="8" t="s">
        <v>327</v>
      </c>
      <c r="S32" s="10"/>
      <c r="T32" s="10" t="str">
        <f>"875,0"</f>
        <v>875,0</v>
      </c>
      <c r="U32" s="10" t="str">
        <f>"494,7250"</f>
        <v>494,7250</v>
      </c>
      <c r="V32" s="7" t="s">
        <v>31</v>
      </c>
    </row>
    <row r="33" ht="12.75">
      <c r="B33" s="5" t="s">
        <v>32</v>
      </c>
    </row>
    <row r="34" spans="2:6" ht="15">
      <c r="B34" s="5" t="s">
        <v>32</v>
      </c>
      <c r="F34" s="23"/>
    </row>
    <row r="35" ht="12.75">
      <c r="B35" s="5" t="s">
        <v>32</v>
      </c>
    </row>
    <row r="36" spans="2:4" ht="18">
      <c r="B36" s="5" t="s">
        <v>32</v>
      </c>
      <c r="C36" s="24" t="s">
        <v>175</v>
      </c>
      <c r="D36" s="24"/>
    </row>
    <row r="37" spans="2:4" ht="14.25">
      <c r="B37" s="5" t="s">
        <v>32</v>
      </c>
      <c r="C37" s="25"/>
      <c r="D37" s="25" t="s">
        <v>177</v>
      </c>
    </row>
    <row r="38" spans="2:7" ht="15">
      <c r="B38" s="5" t="s">
        <v>32</v>
      </c>
      <c r="C38" s="4" t="s">
        <v>178</v>
      </c>
      <c r="D38" s="4" t="s">
        <v>179</v>
      </c>
      <c r="E38" s="4" t="s">
        <v>180</v>
      </c>
      <c r="F38" s="4" t="s">
        <v>181</v>
      </c>
      <c r="G38" s="4" t="s">
        <v>182</v>
      </c>
    </row>
    <row r="39" spans="2:7" ht="12.75">
      <c r="B39" s="5" t="s">
        <v>32</v>
      </c>
      <c r="C39" s="5" t="s">
        <v>322</v>
      </c>
      <c r="D39" s="5" t="s">
        <v>177</v>
      </c>
      <c r="E39" s="6" t="s">
        <v>43</v>
      </c>
      <c r="F39" s="6" t="s">
        <v>353</v>
      </c>
      <c r="G39" s="6" t="s">
        <v>354</v>
      </c>
    </row>
    <row r="40" spans="2:7" ht="12.75">
      <c r="B40" s="5" t="s">
        <v>32</v>
      </c>
      <c r="C40" s="5" t="s">
        <v>348</v>
      </c>
      <c r="D40" s="5" t="s">
        <v>177</v>
      </c>
      <c r="E40" s="6" t="s">
        <v>63</v>
      </c>
      <c r="F40" s="6" t="s">
        <v>355</v>
      </c>
      <c r="G40" s="6" t="s">
        <v>356</v>
      </c>
    </row>
    <row r="41" spans="2:7" ht="12.75">
      <c r="B41" s="5" t="s">
        <v>32</v>
      </c>
      <c r="C41" s="5" t="s">
        <v>305</v>
      </c>
      <c r="D41" s="5" t="s">
        <v>177</v>
      </c>
      <c r="E41" s="6" t="s">
        <v>24</v>
      </c>
      <c r="F41" s="6" t="s">
        <v>357</v>
      </c>
      <c r="G41" s="6" t="s">
        <v>358</v>
      </c>
    </row>
    <row r="42" ht="12.75">
      <c r="B42" s="5" t="s">
        <v>32</v>
      </c>
    </row>
  </sheetData>
  <sheetProtection/>
  <mergeCells count="21">
    <mergeCell ref="A31:U31"/>
    <mergeCell ref="B3:B4"/>
    <mergeCell ref="E3:E4"/>
    <mergeCell ref="T3:T4"/>
    <mergeCell ref="U3:U4"/>
    <mergeCell ref="A5:U5"/>
    <mergeCell ref="G3:G4"/>
    <mergeCell ref="A12:U12"/>
    <mergeCell ref="A20:U20"/>
    <mergeCell ref="A28:U28"/>
    <mergeCell ref="V3:V4"/>
    <mergeCell ref="F3:F4"/>
    <mergeCell ref="A8:U8"/>
    <mergeCell ref="A16:U16"/>
    <mergeCell ref="A1:V2"/>
    <mergeCell ref="H3:K3"/>
    <mergeCell ref="L3:O3"/>
    <mergeCell ref="P3:S3"/>
    <mergeCell ref="A3:A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1"/>
  <headerFooter alignWithMargins="0">
    <oddFooter>&amp;L&amp;G&amp;R&amp;D&amp;T&amp;P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="78" zoomScaleNormal="78" zoomScalePageLayoutView="0" workbookViewId="0" topLeftCell="A1">
      <selection activeCell="M29" sqref="M29"/>
    </sheetView>
  </sheetViews>
  <sheetFormatPr defaultColWidth="9.125" defaultRowHeight="12.75"/>
  <cols>
    <col min="1" max="1" width="7.375" style="6" bestFit="1" customWidth="1"/>
    <col min="2" max="2" width="23.375" style="5" customWidth="1"/>
    <col min="3" max="3" width="26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75390625" style="5" bestFit="1" customWidth="1"/>
    <col min="8" max="9" width="5.625" style="6" bestFit="1" customWidth="1"/>
    <col min="10" max="10" width="6.75390625" style="6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6" width="12.75390625" style="6" customWidth="1"/>
    <col min="17" max="17" width="13.25390625" style="6" customWidth="1"/>
    <col min="18" max="18" width="17.625" style="5" bestFit="1" customWidth="1"/>
    <col min="19" max="16384" width="9.125" style="3" customWidth="1"/>
  </cols>
  <sheetData>
    <row r="1" spans="1:18" s="2" customFormat="1" ht="28.5" customHeight="1">
      <c r="A1" s="55" t="s">
        <v>359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10</v>
      </c>
      <c r="M3" s="47"/>
      <c r="N3" s="47"/>
      <c r="O3" s="47"/>
      <c r="P3" s="47" t="s">
        <v>11</v>
      </c>
      <c r="Q3" s="47" t="s">
        <v>12</v>
      </c>
      <c r="R3" s="51" t="s">
        <v>13</v>
      </c>
    </row>
    <row r="4" spans="1:18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8"/>
      <c r="Q4" s="48"/>
      <c r="R4" s="52"/>
    </row>
    <row r="5" spans="1:17" ht="15">
      <c r="A5" s="53" t="s">
        <v>44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ht="12.75">
      <c r="A6" s="10" t="s">
        <v>16</v>
      </c>
      <c r="B6" s="7" t="s">
        <v>85</v>
      </c>
      <c r="C6" s="7" t="s">
        <v>86</v>
      </c>
      <c r="D6" s="7" t="s">
        <v>59</v>
      </c>
      <c r="E6" s="7" t="str">
        <f>"0,7832"</f>
        <v>0,7832</v>
      </c>
      <c r="F6" s="7" t="s">
        <v>87</v>
      </c>
      <c r="G6" s="7" t="s">
        <v>37</v>
      </c>
      <c r="H6" s="9" t="s">
        <v>89</v>
      </c>
      <c r="I6" s="9" t="s">
        <v>60</v>
      </c>
      <c r="J6" s="10"/>
      <c r="K6" s="10"/>
      <c r="L6" s="9" t="s">
        <v>90</v>
      </c>
      <c r="M6" s="8" t="s">
        <v>91</v>
      </c>
      <c r="N6" s="9" t="s">
        <v>91</v>
      </c>
      <c r="O6" s="10"/>
      <c r="P6" s="10" t="str">
        <f>"330,0"</f>
        <v>330,0</v>
      </c>
      <c r="Q6" s="10" t="str">
        <f>"258,4560"</f>
        <v>258,4560</v>
      </c>
      <c r="R6" s="7" t="s">
        <v>92</v>
      </c>
    </row>
    <row r="7" ht="12.75">
      <c r="B7" s="5" t="s">
        <v>32</v>
      </c>
    </row>
    <row r="8" spans="1:17" ht="15">
      <c r="A8" s="45" t="s">
        <v>119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12.75">
      <c r="A9" s="14" t="s">
        <v>16</v>
      </c>
      <c r="B9" s="11" t="s">
        <v>360</v>
      </c>
      <c r="C9" s="11" t="s">
        <v>361</v>
      </c>
      <c r="D9" s="11" t="s">
        <v>362</v>
      </c>
      <c r="E9" s="11" t="str">
        <f>"0,6440"</f>
        <v>0,6440</v>
      </c>
      <c r="F9" s="11" t="s">
        <v>20</v>
      </c>
      <c r="G9" s="11" t="s">
        <v>129</v>
      </c>
      <c r="H9" s="13" t="s">
        <v>155</v>
      </c>
      <c r="I9" s="13" t="s">
        <v>105</v>
      </c>
      <c r="J9" s="41">
        <v>175</v>
      </c>
      <c r="K9" s="14"/>
      <c r="L9" s="13" t="s">
        <v>161</v>
      </c>
      <c r="M9" s="12" t="s">
        <v>321</v>
      </c>
      <c r="N9" s="12" t="s">
        <v>321</v>
      </c>
      <c r="O9" s="14"/>
      <c r="P9" s="14" t="str">
        <f>"395,0"</f>
        <v>395,0</v>
      </c>
      <c r="Q9" s="14" t="str">
        <f>"254,3800"</f>
        <v>254,3800</v>
      </c>
      <c r="R9" s="11" t="s">
        <v>134</v>
      </c>
    </row>
    <row r="10" spans="1:18" ht="12.75">
      <c r="A10" s="21" t="s">
        <v>56</v>
      </c>
      <c r="B10" s="19" t="s">
        <v>363</v>
      </c>
      <c r="C10" s="19" t="s">
        <v>364</v>
      </c>
      <c r="D10" s="19" t="s">
        <v>365</v>
      </c>
      <c r="E10" s="19" t="str">
        <f>"0,6384"</f>
        <v>0,6384</v>
      </c>
      <c r="F10" s="19" t="s">
        <v>20</v>
      </c>
      <c r="G10" s="19" t="s">
        <v>37</v>
      </c>
      <c r="H10" s="20" t="s">
        <v>88</v>
      </c>
      <c r="I10" s="22" t="s">
        <v>132</v>
      </c>
      <c r="J10" s="22" t="s">
        <v>132</v>
      </c>
      <c r="K10" s="21"/>
      <c r="L10" s="20" t="s">
        <v>90</v>
      </c>
      <c r="M10" s="20" t="s">
        <v>100</v>
      </c>
      <c r="N10" s="22" t="s">
        <v>133</v>
      </c>
      <c r="O10" s="21"/>
      <c r="P10" s="21" t="str">
        <f>"360,0"</f>
        <v>360,0</v>
      </c>
      <c r="Q10" s="21" t="str">
        <f>"229,8240"</f>
        <v>229,8240</v>
      </c>
      <c r="R10" s="19" t="s">
        <v>31</v>
      </c>
    </row>
    <row r="11" spans="1:18" ht="12.75">
      <c r="A11" s="17" t="s">
        <v>65</v>
      </c>
      <c r="B11" s="15" t="s">
        <v>135</v>
      </c>
      <c r="C11" s="15" t="s">
        <v>136</v>
      </c>
      <c r="D11" s="15" t="s">
        <v>137</v>
      </c>
      <c r="E11" s="15" t="str">
        <f>"0,6402"</f>
        <v>0,6402</v>
      </c>
      <c r="F11" s="15" t="s">
        <v>20</v>
      </c>
      <c r="G11" s="32" t="s">
        <v>201</v>
      </c>
      <c r="H11" s="18" t="s">
        <v>62</v>
      </c>
      <c r="I11" s="16" t="s">
        <v>63</v>
      </c>
      <c r="J11" s="16" t="s">
        <v>63</v>
      </c>
      <c r="K11" s="17"/>
      <c r="L11" s="18" t="s">
        <v>125</v>
      </c>
      <c r="M11" s="18" t="s">
        <v>130</v>
      </c>
      <c r="N11" s="16" t="s">
        <v>118</v>
      </c>
      <c r="O11" s="17"/>
      <c r="P11" s="17" t="str">
        <f>"325,0"</f>
        <v>325,0</v>
      </c>
      <c r="Q11" s="17" t="str">
        <f>"208,0650"</f>
        <v>208,0650</v>
      </c>
      <c r="R11" s="15" t="s">
        <v>31</v>
      </c>
    </row>
    <row r="12" ht="12.75">
      <c r="B12" s="5" t="s">
        <v>32</v>
      </c>
    </row>
    <row r="13" spans="1:17" ht="15">
      <c r="A13" s="45" t="s">
        <v>145</v>
      </c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8" ht="12.75">
      <c r="A14" s="14" t="s">
        <v>16</v>
      </c>
      <c r="B14" s="11" t="s">
        <v>366</v>
      </c>
      <c r="C14" s="11" t="s">
        <v>367</v>
      </c>
      <c r="D14" s="11" t="s">
        <v>368</v>
      </c>
      <c r="E14" s="11" t="str">
        <f>"0,6136"</f>
        <v>0,6136</v>
      </c>
      <c r="F14" s="11" t="s">
        <v>20</v>
      </c>
      <c r="G14" s="11" t="s">
        <v>37</v>
      </c>
      <c r="H14" s="13" t="s">
        <v>53</v>
      </c>
      <c r="I14" s="12" t="s">
        <v>63</v>
      </c>
      <c r="J14" s="13" t="s">
        <v>63</v>
      </c>
      <c r="K14" s="14"/>
      <c r="L14" s="13" t="s">
        <v>164</v>
      </c>
      <c r="M14" s="12" t="s">
        <v>369</v>
      </c>
      <c r="N14" s="12" t="s">
        <v>369</v>
      </c>
      <c r="O14" s="14"/>
      <c r="P14" s="14" t="str">
        <f>"400,0"</f>
        <v>400,0</v>
      </c>
      <c r="Q14" s="14" t="str">
        <f>"245,4400"</f>
        <v>245,4400</v>
      </c>
      <c r="R14" s="11" t="s">
        <v>31</v>
      </c>
    </row>
    <row r="15" spans="1:18" ht="12.75">
      <c r="A15" s="17" t="s">
        <v>56</v>
      </c>
      <c r="B15" s="15" t="s">
        <v>370</v>
      </c>
      <c r="C15" s="15" t="s">
        <v>371</v>
      </c>
      <c r="D15" s="15" t="s">
        <v>372</v>
      </c>
      <c r="E15" s="15" t="str">
        <f>"0,6111"</f>
        <v>0,6111</v>
      </c>
      <c r="F15" s="15" t="s">
        <v>20</v>
      </c>
      <c r="G15" s="15" t="s">
        <v>37</v>
      </c>
      <c r="H15" s="18" t="s">
        <v>30</v>
      </c>
      <c r="I15" s="18" t="s">
        <v>61</v>
      </c>
      <c r="J15" s="16" t="s">
        <v>53</v>
      </c>
      <c r="K15" s="17"/>
      <c r="L15" s="18" t="s">
        <v>373</v>
      </c>
      <c r="M15" s="18" t="s">
        <v>374</v>
      </c>
      <c r="N15" s="18" t="s">
        <v>261</v>
      </c>
      <c r="O15" s="17"/>
      <c r="P15" s="17" t="str">
        <f>"390,0"</f>
        <v>390,0</v>
      </c>
      <c r="Q15" s="17" t="str">
        <f>"238,3290"</f>
        <v>238,3290</v>
      </c>
      <c r="R15" s="15" t="s">
        <v>31</v>
      </c>
    </row>
    <row r="16" ht="12.75">
      <c r="B16" s="5" t="s">
        <v>32</v>
      </c>
    </row>
    <row r="17" spans="1:17" ht="15">
      <c r="A17" s="45" t="s">
        <v>156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8" ht="12.75">
      <c r="A18" s="14" t="s">
        <v>16</v>
      </c>
      <c r="B18" s="11" t="s">
        <v>375</v>
      </c>
      <c r="C18" s="11" t="s">
        <v>376</v>
      </c>
      <c r="D18" s="11" t="s">
        <v>377</v>
      </c>
      <c r="E18" s="11" t="str">
        <f>"0,5972"</f>
        <v>0,5972</v>
      </c>
      <c r="F18" s="11" t="s">
        <v>378</v>
      </c>
      <c r="G18" s="11" t="s">
        <v>379</v>
      </c>
      <c r="H18" s="13" t="s">
        <v>380</v>
      </c>
      <c r="I18" s="12" t="s">
        <v>381</v>
      </c>
      <c r="J18" s="22" t="s">
        <v>381</v>
      </c>
      <c r="K18" s="14"/>
      <c r="L18" s="13" t="s">
        <v>382</v>
      </c>
      <c r="M18" s="13" t="s">
        <v>261</v>
      </c>
      <c r="N18" s="13" t="s">
        <v>165</v>
      </c>
      <c r="O18" s="14"/>
      <c r="P18" s="14" t="str">
        <f>"462,5"</f>
        <v>462,5</v>
      </c>
      <c r="Q18" s="14" t="str">
        <f>"276,2050"</f>
        <v>276,2050</v>
      </c>
      <c r="R18" s="11" t="s">
        <v>383</v>
      </c>
    </row>
    <row r="19" spans="1:18" ht="12.75">
      <c r="A19" s="21" t="s">
        <v>56</v>
      </c>
      <c r="B19" s="19" t="s">
        <v>384</v>
      </c>
      <c r="C19" s="19" t="s">
        <v>385</v>
      </c>
      <c r="D19" s="19" t="s">
        <v>386</v>
      </c>
      <c r="E19" s="19" t="str">
        <f>"0,5924"</f>
        <v>0,5924</v>
      </c>
      <c r="F19" s="19" t="s">
        <v>20</v>
      </c>
      <c r="G19" s="19" t="s">
        <v>129</v>
      </c>
      <c r="H19" s="20" t="s">
        <v>155</v>
      </c>
      <c r="I19" s="20" t="s">
        <v>105</v>
      </c>
      <c r="J19" s="22" t="s">
        <v>162</v>
      </c>
      <c r="K19" s="21"/>
      <c r="L19" s="20" t="s">
        <v>373</v>
      </c>
      <c r="M19" s="20" t="s">
        <v>382</v>
      </c>
      <c r="N19" s="22" t="s">
        <v>261</v>
      </c>
      <c r="O19" s="21"/>
      <c r="P19" s="21" t="str">
        <f>"420,0"</f>
        <v>420,0</v>
      </c>
      <c r="Q19" s="21" t="str">
        <f>"248,8080"</f>
        <v>248,8080</v>
      </c>
      <c r="R19" s="19" t="s">
        <v>387</v>
      </c>
    </row>
    <row r="20" spans="1:18" ht="12.75">
      <c r="A20" s="17" t="s">
        <v>65</v>
      </c>
      <c r="B20" s="15" t="s">
        <v>388</v>
      </c>
      <c r="C20" s="15" t="s">
        <v>389</v>
      </c>
      <c r="D20" s="15" t="s">
        <v>390</v>
      </c>
      <c r="E20" s="15" t="str">
        <f>"0,5950"</f>
        <v>0,5950</v>
      </c>
      <c r="F20" s="15" t="s">
        <v>20</v>
      </c>
      <c r="G20" s="15" t="s">
        <v>37</v>
      </c>
      <c r="H20" s="16" t="s">
        <v>123</v>
      </c>
      <c r="I20" s="16" t="s">
        <v>105</v>
      </c>
      <c r="J20" s="18" t="s">
        <v>105</v>
      </c>
      <c r="K20" s="17"/>
      <c r="L20" s="18" t="s">
        <v>161</v>
      </c>
      <c r="M20" s="16" t="s">
        <v>173</v>
      </c>
      <c r="N20" s="17"/>
      <c r="O20" s="17"/>
      <c r="P20" s="17" t="str">
        <f>"395,0"</f>
        <v>395,0</v>
      </c>
      <c r="Q20" s="17" t="str">
        <f>"235,0250"</f>
        <v>235,0250</v>
      </c>
      <c r="R20" s="15" t="s">
        <v>31</v>
      </c>
    </row>
    <row r="21" ht="12.75">
      <c r="B21" s="5" t="s">
        <v>32</v>
      </c>
    </row>
    <row r="22" spans="2:6" ht="15">
      <c r="B22" s="5" t="s">
        <v>32</v>
      </c>
      <c r="F22" s="23"/>
    </row>
    <row r="23" ht="12.75">
      <c r="B23" s="5" t="s">
        <v>32</v>
      </c>
    </row>
    <row r="24" spans="2:4" ht="18">
      <c r="B24" s="5" t="s">
        <v>32</v>
      </c>
      <c r="C24" s="24" t="s">
        <v>175</v>
      </c>
      <c r="D24" s="24"/>
    </row>
    <row r="25" spans="2:4" ht="15">
      <c r="B25" s="5" t="s">
        <v>32</v>
      </c>
      <c r="C25" s="43" t="s">
        <v>190</v>
      </c>
      <c r="D25" s="43"/>
    </row>
    <row r="26" spans="2:4" ht="14.25">
      <c r="B26" s="5" t="s">
        <v>32</v>
      </c>
      <c r="C26" s="25"/>
      <c r="D26" s="25" t="s">
        <v>177</v>
      </c>
    </row>
    <row r="27" spans="2:7" ht="15">
      <c r="B27" s="5" t="s">
        <v>32</v>
      </c>
      <c r="C27" s="4" t="s">
        <v>178</v>
      </c>
      <c r="D27" s="4" t="s">
        <v>179</v>
      </c>
      <c r="E27" s="4" t="s">
        <v>180</v>
      </c>
      <c r="F27" s="4" t="s">
        <v>181</v>
      </c>
      <c r="G27" s="4" t="s">
        <v>182</v>
      </c>
    </row>
    <row r="28" spans="2:7" ht="12.75">
      <c r="B28" s="5" t="s">
        <v>32</v>
      </c>
      <c r="C28" s="5" t="s">
        <v>375</v>
      </c>
      <c r="D28" s="5" t="s">
        <v>177</v>
      </c>
      <c r="E28" s="6" t="s">
        <v>48</v>
      </c>
      <c r="F28" s="6" t="s">
        <v>391</v>
      </c>
      <c r="G28" s="6" t="s">
        <v>392</v>
      </c>
    </row>
    <row r="29" spans="2:7" ht="12.75">
      <c r="B29" s="5" t="s">
        <v>32</v>
      </c>
      <c r="C29" s="5" t="s">
        <v>85</v>
      </c>
      <c r="D29" s="5" t="s">
        <v>177</v>
      </c>
      <c r="E29" s="6" t="s">
        <v>185</v>
      </c>
      <c r="F29" s="6" t="s">
        <v>327</v>
      </c>
      <c r="G29" s="6" t="s">
        <v>393</v>
      </c>
    </row>
    <row r="30" spans="2:7" ht="12.75">
      <c r="B30" s="5" t="s">
        <v>32</v>
      </c>
      <c r="C30" s="5" t="s">
        <v>360</v>
      </c>
      <c r="D30" s="5" t="s">
        <v>177</v>
      </c>
      <c r="E30" s="6" t="s">
        <v>41</v>
      </c>
      <c r="F30" s="6" t="s">
        <v>394</v>
      </c>
      <c r="G30" s="6" t="s">
        <v>395</v>
      </c>
    </row>
    <row r="31" ht="12.75">
      <c r="B31" s="5" t="s">
        <v>32</v>
      </c>
    </row>
  </sheetData>
  <sheetProtection/>
  <mergeCells count="17"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A17:Q17"/>
    <mergeCell ref="B3:B4"/>
    <mergeCell ref="P3:P4"/>
    <mergeCell ref="Q3:Q4"/>
    <mergeCell ref="R3:R4"/>
    <mergeCell ref="A5:Q5"/>
    <mergeCell ref="A8:Q8"/>
    <mergeCell ref="A13:Q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76" zoomScaleNormal="76" zoomScalePageLayoutView="0" workbookViewId="0" topLeftCell="A1">
      <selection activeCell="T21" sqref="T21"/>
    </sheetView>
  </sheetViews>
  <sheetFormatPr defaultColWidth="9.125" defaultRowHeight="12.75"/>
  <cols>
    <col min="1" max="1" width="7.375" style="6" bestFit="1" customWidth="1"/>
    <col min="2" max="2" width="24.625" style="5" customWidth="1"/>
    <col min="3" max="3" width="29.87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7.125" style="5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6" width="12.75390625" style="6" customWidth="1"/>
    <col min="17" max="17" width="14.25390625" style="6" customWidth="1"/>
    <col min="18" max="18" width="24.125" style="5" bestFit="1" customWidth="1"/>
    <col min="19" max="16384" width="9.125" style="3" customWidth="1"/>
  </cols>
  <sheetData>
    <row r="1" spans="1:18" s="2" customFormat="1" ht="28.5" customHeight="1">
      <c r="A1" s="55" t="s">
        <v>396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10</v>
      </c>
      <c r="M3" s="47"/>
      <c r="N3" s="47"/>
      <c r="O3" s="47"/>
      <c r="P3" s="47" t="s">
        <v>11</v>
      </c>
      <c r="Q3" s="47" t="s">
        <v>12</v>
      </c>
      <c r="R3" s="51" t="s">
        <v>13</v>
      </c>
    </row>
    <row r="4" spans="1:18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8"/>
      <c r="Q4" s="48"/>
      <c r="R4" s="52"/>
    </row>
    <row r="5" spans="1:17" ht="15">
      <c r="A5" s="53" t="s">
        <v>33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ht="12.75">
      <c r="A6" s="10" t="s">
        <v>16</v>
      </c>
      <c r="B6" s="7" t="s">
        <v>207</v>
      </c>
      <c r="C6" s="7" t="s">
        <v>208</v>
      </c>
      <c r="D6" s="7" t="s">
        <v>209</v>
      </c>
      <c r="E6" s="7" t="str">
        <f>"1,2560"</f>
        <v>1,2560</v>
      </c>
      <c r="F6" s="7" t="s">
        <v>20</v>
      </c>
      <c r="G6" s="7" t="s">
        <v>37</v>
      </c>
      <c r="H6" s="9" t="s">
        <v>40</v>
      </c>
      <c r="I6" s="9" t="s">
        <v>26</v>
      </c>
      <c r="J6" s="8" t="s">
        <v>27</v>
      </c>
      <c r="K6" s="10"/>
      <c r="L6" s="9" t="s">
        <v>49</v>
      </c>
      <c r="M6" s="9" t="s">
        <v>50</v>
      </c>
      <c r="N6" s="8" t="s">
        <v>73</v>
      </c>
      <c r="O6" s="10"/>
      <c r="P6" s="10" t="str">
        <f>"170,0"</f>
        <v>170,0</v>
      </c>
      <c r="Q6" s="10" t="str">
        <f>"213,5200"</f>
        <v>213,5200</v>
      </c>
      <c r="R6" s="7" t="s">
        <v>92</v>
      </c>
    </row>
    <row r="7" ht="12.75">
      <c r="B7" s="5" t="s">
        <v>32</v>
      </c>
    </row>
    <row r="8" spans="1:17" ht="15">
      <c r="A8" s="45" t="s">
        <v>80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8" ht="12.75">
      <c r="A9" s="10" t="s">
        <v>16</v>
      </c>
      <c r="B9" s="7" t="s">
        <v>397</v>
      </c>
      <c r="C9" s="7" t="s">
        <v>398</v>
      </c>
      <c r="D9" s="7" t="s">
        <v>399</v>
      </c>
      <c r="E9" s="7" t="str">
        <f>"1,1386"</f>
        <v>1,1386</v>
      </c>
      <c r="F9" s="7" t="s">
        <v>69</v>
      </c>
      <c r="G9" s="7" t="s">
        <v>21</v>
      </c>
      <c r="H9" s="9" t="s">
        <v>185</v>
      </c>
      <c r="I9" s="9" t="s">
        <v>22</v>
      </c>
      <c r="J9" s="9" t="s">
        <v>23</v>
      </c>
      <c r="K9" s="10"/>
      <c r="L9" s="9" t="s">
        <v>105</v>
      </c>
      <c r="M9" s="9" t="s">
        <v>162</v>
      </c>
      <c r="N9" s="9" t="s">
        <v>281</v>
      </c>
      <c r="O9" s="10"/>
      <c r="P9" s="10" t="str">
        <f>"255,0"</f>
        <v>255,0</v>
      </c>
      <c r="Q9" s="10" t="str">
        <f>"290,3430"</f>
        <v>290,3430</v>
      </c>
      <c r="R9" s="7" t="s">
        <v>400</v>
      </c>
    </row>
    <row r="10" ht="12.75">
      <c r="B10" s="5" t="s">
        <v>32</v>
      </c>
    </row>
    <row r="11" spans="1:17" ht="15">
      <c r="A11" s="45" t="s">
        <v>107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</row>
    <row r="12" spans="1:18" ht="12.75">
      <c r="A12" s="14" t="s">
        <v>16</v>
      </c>
      <c r="B12" s="11" t="s">
        <v>401</v>
      </c>
      <c r="C12" s="11" t="s">
        <v>402</v>
      </c>
      <c r="D12" s="11" t="s">
        <v>403</v>
      </c>
      <c r="E12" s="11" t="str">
        <f>"0,6860"</f>
        <v>0,6860</v>
      </c>
      <c r="F12" s="11" t="s">
        <v>20</v>
      </c>
      <c r="G12" s="11" t="s">
        <v>21</v>
      </c>
      <c r="H12" s="13" t="s">
        <v>43</v>
      </c>
      <c r="I12" s="13" t="s">
        <v>60</v>
      </c>
      <c r="J12" s="12" t="s">
        <v>48</v>
      </c>
      <c r="K12" s="14"/>
      <c r="L12" s="13" t="s">
        <v>105</v>
      </c>
      <c r="M12" s="13" t="s">
        <v>125</v>
      </c>
      <c r="N12" s="13" t="s">
        <v>130</v>
      </c>
      <c r="O12" s="14"/>
      <c r="P12" s="14" t="str">
        <f>"295,0"</f>
        <v>295,0</v>
      </c>
      <c r="Q12" s="14" t="str">
        <f>"202,3700"</f>
        <v>202,3700</v>
      </c>
      <c r="R12" s="11" t="s">
        <v>404</v>
      </c>
    </row>
    <row r="13" spans="1:18" ht="12.75">
      <c r="A13" s="17" t="s">
        <v>16</v>
      </c>
      <c r="B13" s="15" t="s">
        <v>405</v>
      </c>
      <c r="C13" s="15" t="s">
        <v>406</v>
      </c>
      <c r="D13" s="15" t="s">
        <v>407</v>
      </c>
      <c r="E13" s="15" t="str">
        <f>"0,6699"</f>
        <v>0,6699</v>
      </c>
      <c r="F13" s="15" t="s">
        <v>20</v>
      </c>
      <c r="G13" s="15" t="s">
        <v>129</v>
      </c>
      <c r="H13" s="18" t="s">
        <v>299</v>
      </c>
      <c r="I13" s="18" t="s">
        <v>63</v>
      </c>
      <c r="J13" s="17"/>
      <c r="K13" s="17"/>
      <c r="L13" s="18" t="s">
        <v>130</v>
      </c>
      <c r="M13" s="18" t="s">
        <v>90</v>
      </c>
      <c r="N13" s="18" t="s">
        <v>100</v>
      </c>
      <c r="O13" s="17"/>
      <c r="P13" s="17" t="str">
        <f>"355,0"</f>
        <v>355,0</v>
      </c>
      <c r="Q13" s="17" t="str">
        <f>"237,8145"</f>
        <v>237,8145</v>
      </c>
      <c r="R13" s="15" t="s">
        <v>408</v>
      </c>
    </row>
    <row r="14" ht="12.75">
      <c r="B14" s="5" t="s">
        <v>32</v>
      </c>
    </row>
    <row r="15" spans="1:17" ht="15">
      <c r="A15" s="45" t="s">
        <v>119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</row>
    <row r="16" spans="1:18" ht="12.75">
      <c r="A16" s="14" t="s">
        <v>16</v>
      </c>
      <c r="B16" s="11" t="s">
        <v>247</v>
      </c>
      <c r="C16" s="11" t="s">
        <v>248</v>
      </c>
      <c r="D16" s="11" t="s">
        <v>249</v>
      </c>
      <c r="E16" s="11" t="str">
        <f>"0,6406"</f>
        <v>0,6406</v>
      </c>
      <c r="F16" s="11" t="s">
        <v>20</v>
      </c>
      <c r="G16" s="11" t="s">
        <v>237</v>
      </c>
      <c r="H16" s="13" t="s">
        <v>104</v>
      </c>
      <c r="I16" s="13" t="s">
        <v>105</v>
      </c>
      <c r="J16" s="12" t="s">
        <v>124</v>
      </c>
      <c r="K16" s="14"/>
      <c r="L16" s="13" t="s">
        <v>321</v>
      </c>
      <c r="M16" s="13" t="s">
        <v>409</v>
      </c>
      <c r="N16" s="13" t="s">
        <v>165</v>
      </c>
      <c r="O16" s="14"/>
      <c r="P16" s="14" t="str">
        <f>"435,0"</f>
        <v>435,0</v>
      </c>
      <c r="Q16" s="14" t="str">
        <f>"278,6610"</f>
        <v>278,6610</v>
      </c>
      <c r="R16" s="11" t="s">
        <v>31</v>
      </c>
    </row>
    <row r="17" spans="1:18" ht="12.75">
      <c r="A17" s="17" t="s">
        <v>56</v>
      </c>
      <c r="B17" s="15" t="s">
        <v>410</v>
      </c>
      <c r="C17" s="15" t="s">
        <v>411</v>
      </c>
      <c r="D17" s="15" t="s">
        <v>412</v>
      </c>
      <c r="E17" s="15" t="str">
        <f>"0,6562"</f>
        <v>0,6562</v>
      </c>
      <c r="F17" s="15" t="s">
        <v>20</v>
      </c>
      <c r="G17" s="15" t="s">
        <v>37</v>
      </c>
      <c r="H17" s="18" t="s">
        <v>62</v>
      </c>
      <c r="I17" s="18" t="s">
        <v>54</v>
      </c>
      <c r="J17" s="18" t="s">
        <v>63</v>
      </c>
      <c r="K17" s="17"/>
      <c r="L17" s="18" t="s">
        <v>90</v>
      </c>
      <c r="M17" s="18" t="s">
        <v>340</v>
      </c>
      <c r="N17" s="16" t="s">
        <v>150</v>
      </c>
      <c r="O17" s="17"/>
      <c r="P17" s="17" t="str">
        <f>"352,5"</f>
        <v>352,5</v>
      </c>
      <c r="Q17" s="17" t="str">
        <f>"231,3105"</f>
        <v>231,3105</v>
      </c>
      <c r="R17" s="15" t="s">
        <v>31</v>
      </c>
    </row>
    <row r="18" ht="12.75">
      <c r="B18" s="5" t="s">
        <v>32</v>
      </c>
    </row>
    <row r="19" spans="1:17" ht="15">
      <c r="A19" s="45" t="s">
        <v>145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8" ht="12.75">
      <c r="A20" s="14" t="s">
        <v>16</v>
      </c>
      <c r="B20" s="11" t="s">
        <v>413</v>
      </c>
      <c r="C20" s="11" t="s">
        <v>414</v>
      </c>
      <c r="D20" s="11" t="s">
        <v>415</v>
      </c>
      <c r="E20" s="11" t="str">
        <f>"0,6232"</f>
        <v>0,6232</v>
      </c>
      <c r="F20" s="11" t="s">
        <v>378</v>
      </c>
      <c r="G20" s="11" t="s">
        <v>379</v>
      </c>
      <c r="H20" s="13" t="s">
        <v>123</v>
      </c>
      <c r="I20" s="13" t="s">
        <v>416</v>
      </c>
      <c r="J20" s="12" t="s">
        <v>162</v>
      </c>
      <c r="K20" s="14"/>
      <c r="L20" s="13" t="s">
        <v>173</v>
      </c>
      <c r="M20" s="13" t="s">
        <v>321</v>
      </c>
      <c r="N20" s="12" t="s">
        <v>165</v>
      </c>
      <c r="O20" s="14"/>
      <c r="P20" s="14" t="str">
        <f>"417,5"</f>
        <v>417,5</v>
      </c>
      <c r="Q20" s="14" t="str">
        <f>"260,1860"</f>
        <v>260,1860</v>
      </c>
      <c r="R20" s="11" t="s">
        <v>31</v>
      </c>
    </row>
    <row r="21" spans="1:18" ht="12.75">
      <c r="A21" s="17" t="s">
        <v>56</v>
      </c>
      <c r="B21" s="15" t="s">
        <v>335</v>
      </c>
      <c r="C21" s="15" t="s">
        <v>336</v>
      </c>
      <c r="D21" s="15" t="s">
        <v>337</v>
      </c>
      <c r="E21" s="15" t="str">
        <f>"0,6139"</f>
        <v>0,6139</v>
      </c>
      <c r="F21" s="15" t="s">
        <v>20</v>
      </c>
      <c r="G21" s="15" t="s">
        <v>37</v>
      </c>
      <c r="H21" s="16" t="s">
        <v>63</v>
      </c>
      <c r="I21" s="18" t="s">
        <v>63</v>
      </c>
      <c r="J21" s="18" t="s">
        <v>104</v>
      </c>
      <c r="K21" s="17"/>
      <c r="L21" s="18" t="s">
        <v>118</v>
      </c>
      <c r="M21" s="18" t="s">
        <v>161</v>
      </c>
      <c r="N21" s="16" t="s">
        <v>163</v>
      </c>
      <c r="O21" s="17"/>
      <c r="P21" s="17" t="str">
        <f>"380,0"</f>
        <v>380,0</v>
      </c>
      <c r="Q21" s="17" t="str">
        <f>"233,2820"</f>
        <v>233,2820</v>
      </c>
      <c r="R21" s="15" t="s">
        <v>64</v>
      </c>
    </row>
    <row r="22" ht="12.75">
      <c r="B22" s="5" t="s">
        <v>32</v>
      </c>
    </row>
    <row r="23" spans="1:17" ht="15">
      <c r="A23" s="45" t="s">
        <v>156</v>
      </c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8" ht="12.75">
      <c r="A24" s="14" t="s">
        <v>16</v>
      </c>
      <c r="B24" s="11" t="s">
        <v>417</v>
      </c>
      <c r="C24" s="11" t="s">
        <v>418</v>
      </c>
      <c r="D24" s="11" t="s">
        <v>419</v>
      </c>
      <c r="E24" s="11" t="str">
        <f>"0,5956"</f>
        <v>0,5956</v>
      </c>
      <c r="F24" s="11" t="s">
        <v>20</v>
      </c>
      <c r="G24" s="33" t="s">
        <v>420</v>
      </c>
      <c r="H24" s="13" t="s">
        <v>124</v>
      </c>
      <c r="I24" s="13" t="s">
        <v>125</v>
      </c>
      <c r="J24" s="12" t="s">
        <v>421</v>
      </c>
      <c r="K24" s="14"/>
      <c r="L24" s="13" t="s">
        <v>164</v>
      </c>
      <c r="M24" s="13" t="s">
        <v>346</v>
      </c>
      <c r="N24" s="13" t="s">
        <v>325</v>
      </c>
      <c r="O24" s="14"/>
      <c r="P24" s="14" t="str">
        <f>"480,0"</f>
        <v>480,0</v>
      </c>
      <c r="Q24" s="14" t="str">
        <f>"285,8880"</f>
        <v>285,8880</v>
      </c>
      <c r="R24" s="11" t="s">
        <v>31</v>
      </c>
    </row>
    <row r="25" spans="1:18" ht="12.75">
      <c r="A25" s="21" t="s">
        <v>56</v>
      </c>
      <c r="B25" s="19" t="s">
        <v>422</v>
      </c>
      <c r="C25" s="19" t="s">
        <v>423</v>
      </c>
      <c r="D25" s="19" t="s">
        <v>424</v>
      </c>
      <c r="E25" s="19" t="str">
        <f>"0,5932"</f>
        <v>0,5932</v>
      </c>
      <c r="F25" s="19" t="s">
        <v>20</v>
      </c>
      <c r="G25" s="19" t="s">
        <v>425</v>
      </c>
      <c r="H25" s="20" t="s">
        <v>104</v>
      </c>
      <c r="I25" s="22" t="s">
        <v>155</v>
      </c>
      <c r="J25" s="20" t="s">
        <v>123</v>
      </c>
      <c r="K25" s="21"/>
      <c r="L25" s="20" t="s">
        <v>263</v>
      </c>
      <c r="M25" s="22" t="s">
        <v>325</v>
      </c>
      <c r="N25" s="22" t="s">
        <v>325</v>
      </c>
      <c r="O25" s="21"/>
      <c r="P25" s="21" t="str">
        <f>"445,0"</f>
        <v>445,0</v>
      </c>
      <c r="Q25" s="21" t="str">
        <f>"263,9740"</f>
        <v>263,9740</v>
      </c>
      <c r="R25" s="19" t="s">
        <v>31</v>
      </c>
    </row>
    <row r="26" spans="1:18" ht="12.75">
      <c r="A26" s="21" t="s">
        <v>65</v>
      </c>
      <c r="B26" s="19" t="s">
        <v>426</v>
      </c>
      <c r="C26" s="19" t="s">
        <v>427</v>
      </c>
      <c r="D26" s="19" t="s">
        <v>428</v>
      </c>
      <c r="E26" s="19" t="str">
        <f>"0,6017"</f>
        <v>0,6017</v>
      </c>
      <c r="F26" s="19" t="s">
        <v>20</v>
      </c>
      <c r="G26" s="19" t="s">
        <v>429</v>
      </c>
      <c r="H26" s="22" t="s">
        <v>106</v>
      </c>
      <c r="I26" s="20" t="s">
        <v>130</v>
      </c>
      <c r="J26" s="22" t="s">
        <v>131</v>
      </c>
      <c r="K26" s="21"/>
      <c r="L26" s="22" t="s">
        <v>130</v>
      </c>
      <c r="M26" s="20" t="s">
        <v>149</v>
      </c>
      <c r="N26" s="20" t="s">
        <v>173</v>
      </c>
      <c r="O26" s="21"/>
      <c r="P26" s="21" t="str">
        <f>"430,0"</f>
        <v>430,0</v>
      </c>
      <c r="Q26" s="21" t="str">
        <f>"258,7310"</f>
        <v>258,7310</v>
      </c>
      <c r="R26" s="19" t="s">
        <v>31</v>
      </c>
    </row>
    <row r="27" spans="1:18" ht="12.75">
      <c r="A27" s="17" t="s">
        <v>16</v>
      </c>
      <c r="B27" s="15" t="s">
        <v>417</v>
      </c>
      <c r="C27" s="15" t="s">
        <v>430</v>
      </c>
      <c r="D27" s="15" t="s">
        <v>419</v>
      </c>
      <c r="E27" s="15" t="str">
        <f>"0,5956"</f>
        <v>0,5956</v>
      </c>
      <c r="F27" s="15" t="s">
        <v>20</v>
      </c>
      <c r="G27" s="32" t="s">
        <v>420</v>
      </c>
      <c r="H27" s="18" t="s">
        <v>124</v>
      </c>
      <c r="I27" s="18" t="s">
        <v>125</v>
      </c>
      <c r="J27" s="16" t="s">
        <v>421</v>
      </c>
      <c r="K27" s="17"/>
      <c r="L27" s="18" t="s">
        <v>164</v>
      </c>
      <c r="M27" s="18" t="s">
        <v>346</v>
      </c>
      <c r="N27" s="18" t="s">
        <v>325</v>
      </c>
      <c r="O27" s="17"/>
      <c r="P27" s="17" t="str">
        <f>"480,0"</f>
        <v>480,0</v>
      </c>
      <c r="Q27" s="17" t="str">
        <f>"293,8929"</f>
        <v>293,8929</v>
      </c>
      <c r="R27" s="15" t="s">
        <v>31</v>
      </c>
    </row>
    <row r="28" ht="12.75">
      <c r="B28" s="5" t="s">
        <v>32</v>
      </c>
    </row>
    <row r="29" spans="2:6" ht="15">
      <c r="B29" s="5" t="s">
        <v>32</v>
      </c>
      <c r="F29" s="23"/>
    </row>
    <row r="30" ht="12.75">
      <c r="B30" s="5" t="s">
        <v>32</v>
      </c>
    </row>
    <row r="31" spans="2:4" ht="18">
      <c r="B31" s="5" t="s">
        <v>32</v>
      </c>
      <c r="C31" s="24" t="s">
        <v>175</v>
      </c>
      <c r="D31" s="24"/>
    </row>
    <row r="32" ht="12.75">
      <c r="B32" s="5" t="s">
        <v>32</v>
      </c>
    </row>
    <row r="33" ht="12.75">
      <c r="B33" s="5" t="s">
        <v>32</v>
      </c>
    </row>
    <row r="34" spans="2:4" ht="15">
      <c r="B34" s="5" t="s">
        <v>32</v>
      </c>
      <c r="C34" s="43" t="s">
        <v>190</v>
      </c>
      <c r="D34" s="43"/>
    </row>
    <row r="35" ht="12.75">
      <c r="B35" s="5" t="s">
        <v>32</v>
      </c>
    </row>
    <row r="36" spans="2:4" ht="14.25">
      <c r="B36" s="5" t="s">
        <v>32</v>
      </c>
      <c r="C36" s="25"/>
      <c r="D36" s="25" t="s">
        <v>177</v>
      </c>
    </row>
    <row r="37" spans="2:7" ht="15">
      <c r="B37" s="5" t="s">
        <v>32</v>
      </c>
      <c r="C37" s="4" t="s">
        <v>178</v>
      </c>
      <c r="D37" s="4" t="s">
        <v>179</v>
      </c>
      <c r="E37" s="4" t="s">
        <v>180</v>
      </c>
      <c r="F37" s="4" t="s">
        <v>181</v>
      </c>
      <c r="G37" s="4" t="s">
        <v>182</v>
      </c>
    </row>
    <row r="38" spans="2:7" ht="12.75">
      <c r="B38" s="5" t="s">
        <v>32</v>
      </c>
      <c r="C38" s="5" t="s">
        <v>417</v>
      </c>
      <c r="D38" s="5" t="s">
        <v>177</v>
      </c>
      <c r="E38" s="6" t="s">
        <v>48</v>
      </c>
      <c r="F38" s="6" t="s">
        <v>431</v>
      </c>
      <c r="G38" s="6" t="s">
        <v>432</v>
      </c>
    </row>
    <row r="39" spans="2:7" ht="12.75">
      <c r="B39" s="5" t="s">
        <v>32</v>
      </c>
      <c r="C39" s="5" t="s">
        <v>247</v>
      </c>
      <c r="D39" s="5" t="s">
        <v>177</v>
      </c>
      <c r="E39" s="6" t="s">
        <v>41</v>
      </c>
      <c r="F39" s="6" t="s">
        <v>433</v>
      </c>
      <c r="G39" s="6" t="s">
        <v>434</v>
      </c>
    </row>
    <row r="40" spans="2:7" ht="12.75">
      <c r="B40" s="5" t="s">
        <v>32</v>
      </c>
      <c r="C40" s="5" t="s">
        <v>435</v>
      </c>
      <c r="D40" s="5" t="s">
        <v>177</v>
      </c>
      <c r="E40" s="6" t="s">
        <v>48</v>
      </c>
      <c r="F40" s="6" t="s">
        <v>436</v>
      </c>
      <c r="G40" s="6" t="s">
        <v>437</v>
      </c>
    </row>
  </sheetData>
  <sheetProtection/>
  <mergeCells count="19">
    <mergeCell ref="R3:R4"/>
    <mergeCell ref="A5:Q5"/>
    <mergeCell ref="A8:Q8"/>
    <mergeCell ref="A11:Q11"/>
    <mergeCell ref="A1:R2"/>
    <mergeCell ref="A3:A4"/>
    <mergeCell ref="C3:C4"/>
    <mergeCell ref="D3:D4"/>
    <mergeCell ref="E3:E4"/>
    <mergeCell ref="F3:F4"/>
    <mergeCell ref="A15:Q15"/>
    <mergeCell ref="A19:Q19"/>
    <mergeCell ref="A23:Q23"/>
    <mergeCell ref="B3:B4"/>
    <mergeCell ref="P3:P4"/>
    <mergeCell ref="Q3:Q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6"/>
  <sheetViews>
    <sheetView zoomScale="84" zoomScaleNormal="84" zoomScalePageLayoutView="0" workbookViewId="0" topLeftCell="A1">
      <selection activeCell="G25" sqref="G25"/>
    </sheetView>
  </sheetViews>
  <sheetFormatPr defaultColWidth="9.125" defaultRowHeight="12.75"/>
  <cols>
    <col min="1" max="1" width="7.375" style="6" bestFit="1" customWidth="1"/>
    <col min="2" max="2" width="23.625" style="5" customWidth="1"/>
    <col min="3" max="3" width="26.00390625" style="5" bestFit="1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2.75390625" style="5" customWidth="1"/>
    <col min="8" max="10" width="5.625" style="6" bestFit="1" customWidth="1"/>
    <col min="11" max="11" width="4.875" style="6" bestFit="1" customWidth="1"/>
    <col min="12" max="14" width="5.625" style="6" bestFit="1" customWidth="1"/>
    <col min="15" max="15" width="4.875" style="6" bestFit="1" customWidth="1"/>
    <col min="16" max="16" width="13.125" style="6" customWidth="1"/>
    <col min="17" max="17" width="10.75390625" style="6" customWidth="1"/>
    <col min="18" max="18" width="22.00390625" style="5" bestFit="1" customWidth="1"/>
    <col min="19" max="16384" width="9.125" style="3" customWidth="1"/>
  </cols>
  <sheetData>
    <row r="1" spans="1:18" s="2" customFormat="1" ht="28.5" customHeight="1">
      <c r="A1" s="55" t="s">
        <v>438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/>
    </row>
    <row r="2" spans="1:18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1"/>
    </row>
    <row r="3" spans="1:18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10</v>
      </c>
      <c r="M3" s="47"/>
      <c r="N3" s="47"/>
      <c r="O3" s="47"/>
      <c r="P3" s="47" t="s">
        <v>439</v>
      </c>
      <c r="Q3" s="47" t="s">
        <v>12</v>
      </c>
      <c r="R3" s="51" t="s">
        <v>13</v>
      </c>
    </row>
    <row r="4" spans="1:18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4">
        <v>1</v>
      </c>
      <c r="M4" s="44">
        <v>2</v>
      </c>
      <c r="N4" s="44">
        <v>3</v>
      </c>
      <c r="O4" s="44" t="s">
        <v>14</v>
      </c>
      <c r="P4" s="48"/>
      <c r="Q4" s="48"/>
      <c r="R4" s="52"/>
    </row>
    <row r="5" spans="1:17" ht="15">
      <c r="A5" s="53" t="s">
        <v>145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8" ht="12.75">
      <c r="A6" s="14" t="s">
        <v>16</v>
      </c>
      <c r="B6" s="11" t="s">
        <v>440</v>
      </c>
      <c r="C6" s="11" t="s">
        <v>441</v>
      </c>
      <c r="D6" s="11" t="s">
        <v>442</v>
      </c>
      <c r="E6" s="11" t="str">
        <f>"0,6091"</f>
        <v>0,6091</v>
      </c>
      <c r="F6" s="11" t="s">
        <v>20</v>
      </c>
      <c r="G6" s="11" t="s">
        <v>233</v>
      </c>
      <c r="H6" s="13" t="s">
        <v>161</v>
      </c>
      <c r="I6" s="12" t="s">
        <v>173</v>
      </c>
      <c r="J6" s="12" t="s">
        <v>173</v>
      </c>
      <c r="K6" s="14"/>
      <c r="L6" s="13" t="s">
        <v>325</v>
      </c>
      <c r="M6" s="13" t="s">
        <v>328</v>
      </c>
      <c r="N6" s="13" t="s">
        <v>327</v>
      </c>
      <c r="O6" s="14"/>
      <c r="P6" s="14" t="str">
        <f>"560,0"</f>
        <v>560,0</v>
      </c>
      <c r="Q6" s="14" t="str">
        <f>"341,0960"</f>
        <v>341,0960</v>
      </c>
      <c r="R6" s="11" t="s">
        <v>443</v>
      </c>
    </row>
    <row r="7" spans="1:18" ht="12.75">
      <c r="A7" s="17" t="s">
        <v>56</v>
      </c>
      <c r="B7" s="15" t="s">
        <v>338</v>
      </c>
      <c r="C7" s="15" t="s">
        <v>339</v>
      </c>
      <c r="D7" s="15" t="s">
        <v>334</v>
      </c>
      <c r="E7" s="15" t="str">
        <f>"0,6129"</f>
        <v>0,6129</v>
      </c>
      <c r="F7" s="15" t="s">
        <v>20</v>
      </c>
      <c r="G7" s="15" t="s">
        <v>129</v>
      </c>
      <c r="H7" s="18" t="s">
        <v>88</v>
      </c>
      <c r="I7" s="18" t="s">
        <v>104</v>
      </c>
      <c r="J7" s="18" t="s">
        <v>155</v>
      </c>
      <c r="K7" s="17"/>
      <c r="L7" s="18" t="s">
        <v>163</v>
      </c>
      <c r="M7" s="18" t="s">
        <v>382</v>
      </c>
      <c r="N7" s="16" t="s">
        <v>261</v>
      </c>
      <c r="O7" s="17"/>
      <c r="P7" s="17" t="str">
        <f>"410,0"</f>
        <v>410,0</v>
      </c>
      <c r="Q7" s="17" t="str">
        <f>"251,2890"</f>
        <v>251,2890</v>
      </c>
      <c r="R7" s="15" t="s">
        <v>134</v>
      </c>
    </row>
    <row r="8" ht="12.75">
      <c r="B8" s="5" t="s">
        <v>32</v>
      </c>
    </row>
    <row r="9" spans="2:18" ht="12.75">
      <c r="B9" s="5" t="s">
        <v>32</v>
      </c>
      <c r="F9" s="6"/>
      <c r="G9" s="6"/>
      <c r="P9" s="5"/>
      <c r="Q9" s="3"/>
      <c r="R9" s="3"/>
    </row>
    <row r="10" spans="2:18" ht="12.75">
      <c r="B10" s="5" t="s">
        <v>32</v>
      </c>
      <c r="F10" s="6"/>
      <c r="G10" s="6"/>
      <c r="P10" s="5"/>
      <c r="Q10" s="3"/>
      <c r="R10" s="3"/>
    </row>
    <row r="11" spans="2:18" ht="12.75">
      <c r="B11" s="5" t="s">
        <v>32</v>
      </c>
      <c r="F11" s="6"/>
      <c r="G11" s="6"/>
      <c r="P11" s="5"/>
      <c r="Q11" s="3"/>
      <c r="R11" s="3"/>
    </row>
    <row r="12" spans="2:18" ht="12.75">
      <c r="B12" s="5" t="s">
        <v>32</v>
      </c>
      <c r="F12" s="6"/>
      <c r="G12" s="6"/>
      <c r="P12" s="5"/>
      <c r="Q12" s="3"/>
      <c r="R12" s="3"/>
    </row>
    <row r="13" spans="2:18" ht="12.75">
      <c r="B13" s="5" t="s">
        <v>32</v>
      </c>
      <c r="F13" s="6"/>
      <c r="G13" s="6"/>
      <c r="P13" s="5"/>
      <c r="Q13" s="3"/>
      <c r="R13" s="3"/>
    </row>
    <row r="14" spans="2:18" ht="12.75">
      <c r="B14" s="5" t="s">
        <v>32</v>
      </c>
      <c r="F14" s="6"/>
      <c r="G14" s="6"/>
      <c r="P14" s="5"/>
      <c r="Q14" s="3"/>
      <c r="R14" s="3"/>
    </row>
    <row r="15" spans="2:18" ht="12.75">
      <c r="B15" s="5" t="s">
        <v>32</v>
      </c>
      <c r="F15" s="6"/>
      <c r="G15" s="6"/>
      <c r="P15" s="5"/>
      <c r="Q15" s="3"/>
      <c r="R15" s="3"/>
    </row>
    <row r="16" ht="12.75">
      <c r="B16" s="5" t="s">
        <v>32</v>
      </c>
    </row>
  </sheetData>
  <sheetProtection/>
  <mergeCells count="14">
    <mergeCell ref="A5:Q5"/>
    <mergeCell ref="B3:B4"/>
    <mergeCell ref="A1:R2"/>
    <mergeCell ref="A3:A4"/>
    <mergeCell ref="C3:C4"/>
    <mergeCell ref="D3:D4"/>
    <mergeCell ref="E3:E4"/>
    <mergeCell ref="F3:F4"/>
    <mergeCell ref="G3:G4"/>
    <mergeCell ref="H3:K3"/>
    <mergeCell ref="L3:O3"/>
    <mergeCell ref="P3:P4"/>
    <mergeCell ref="Q3:Q4"/>
    <mergeCell ref="R3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1"/>
  <sheetViews>
    <sheetView zoomScale="73" zoomScaleNormal="73" zoomScalePageLayoutView="0" workbookViewId="0" topLeftCell="A1">
      <selection activeCell="A26" sqref="A26:M26"/>
    </sheetView>
  </sheetViews>
  <sheetFormatPr defaultColWidth="9.125" defaultRowHeight="12.75"/>
  <cols>
    <col min="1" max="1" width="7.375" style="6" bestFit="1" customWidth="1"/>
    <col min="2" max="2" width="26.625" style="5" customWidth="1"/>
    <col min="3" max="3" width="32.7539062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7.125" style="5" customWidth="1"/>
    <col min="8" max="8" width="7.25390625" style="6" customWidth="1"/>
    <col min="9" max="9" width="6.75390625" style="6" customWidth="1"/>
    <col min="10" max="10" width="7.00390625" style="6" customWidth="1"/>
    <col min="11" max="11" width="6.25390625" style="6" customWidth="1"/>
    <col min="12" max="12" width="12.75390625" style="6" customWidth="1"/>
    <col min="13" max="13" width="12.125" style="6" customWidth="1"/>
    <col min="14" max="14" width="30.875" style="5" bestFit="1" customWidth="1"/>
    <col min="15" max="16384" width="9.125" style="3" customWidth="1"/>
  </cols>
  <sheetData>
    <row r="1" spans="1:14" s="2" customFormat="1" ht="28.5" customHeight="1">
      <c r="A1" s="55" t="s">
        <v>444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445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0" t="s">
        <v>16</v>
      </c>
      <c r="B6" s="7" t="s">
        <v>446</v>
      </c>
      <c r="C6" s="7" t="s">
        <v>447</v>
      </c>
      <c r="D6" s="7" t="s">
        <v>448</v>
      </c>
      <c r="E6" s="7" t="str">
        <f>"1,4936"</f>
        <v>1,4936</v>
      </c>
      <c r="F6" s="7" t="s">
        <v>20</v>
      </c>
      <c r="G6" s="7" t="s">
        <v>129</v>
      </c>
      <c r="H6" s="9" t="s">
        <v>204</v>
      </c>
      <c r="I6" s="9" t="s">
        <v>214</v>
      </c>
      <c r="J6" s="8" t="s">
        <v>111</v>
      </c>
      <c r="K6" s="10"/>
      <c r="L6" s="10" t="str">
        <f>"35,0"</f>
        <v>35,0</v>
      </c>
      <c r="M6" s="10" t="str">
        <f>"52,2760"</f>
        <v>52,2760</v>
      </c>
      <c r="N6" s="7" t="s">
        <v>134</v>
      </c>
    </row>
    <row r="7" ht="12.75">
      <c r="B7" s="5" t="s">
        <v>32</v>
      </c>
    </row>
    <row r="8" spans="1:13" ht="15">
      <c r="A8" s="45" t="s">
        <v>15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2.75">
      <c r="A9" s="10" t="s">
        <v>16</v>
      </c>
      <c r="B9" s="7" t="s">
        <v>449</v>
      </c>
      <c r="C9" s="7" t="s">
        <v>450</v>
      </c>
      <c r="D9" s="7" t="s">
        <v>451</v>
      </c>
      <c r="E9" s="7" t="str">
        <f>"1,3244"</f>
        <v>1,3244</v>
      </c>
      <c r="F9" s="7" t="s">
        <v>20</v>
      </c>
      <c r="G9" s="7" t="s">
        <v>452</v>
      </c>
      <c r="H9" s="9" t="s">
        <v>111</v>
      </c>
      <c r="I9" s="9" t="s">
        <v>25</v>
      </c>
      <c r="J9" s="8" t="s">
        <v>27</v>
      </c>
      <c r="K9" s="10"/>
      <c r="L9" s="10" t="str">
        <f>"45,0"</f>
        <v>45,0</v>
      </c>
      <c r="M9" s="10" t="str">
        <f>"59,5980"</f>
        <v>59,5980</v>
      </c>
      <c r="N9" s="7" t="s">
        <v>453</v>
      </c>
    </row>
    <row r="10" ht="12.75">
      <c r="B10" s="5" t="s">
        <v>32</v>
      </c>
    </row>
    <row r="11" spans="1:13" ht="15">
      <c r="A11" s="45" t="s">
        <v>33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 ht="12.75">
      <c r="A12" s="14" t="s">
        <v>16</v>
      </c>
      <c r="B12" s="11" t="s">
        <v>454</v>
      </c>
      <c r="C12" s="11" t="s">
        <v>455</v>
      </c>
      <c r="D12" s="11" t="s">
        <v>456</v>
      </c>
      <c r="E12" s="11" t="str">
        <f>"1,2750"</f>
        <v>1,2750</v>
      </c>
      <c r="F12" s="11" t="s">
        <v>20</v>
      </c>
      <c r="G12" s="11" t="s">
        <v>237</v>
      </c>
      <c r="H12" s="12" t="s">
        <v>51</v>
      </c>
      <c r="I12" s="13" t="s">
        <v>51</v>
      </c>
      <c r="J12" s="12" t="s">
        <v>78</v>
      </c>
      <c r="K12" s="14"/>
      <c r="L12" s="14" t="str">
        <f>"55,0"</f>
        <v>55,0</v>
      </c>
      <c r="M12" s="14" t="str">
        <f>"70,1250"</f>
        <v>70,1250</v>
      </c>
      <c r="N12" s="11" t="s">
        <v>31</v>
      </c>
    </row>
    <row r="13" spans="1:14" ht="12.75">
      <c r="A13" s="17" t="s">
        <v>16</v>
      </c>
      <c r="B13" s="15" t="s">
        <v>34</v>
      </c>
      <c r="C13" s="15" t="s">
        <v>35</v>
      </c>
      <c r="D13" s="15" t="s">
        <v>36</v>
      </c>
      <c r="E13" s="15" t="str">
        <f>"1,2485"</f>
        <v>1,2485</v>
      </c>
      <c r="F13" s="15" t="s">
        <v>20</v>
      </c>
      <c r="G13" s="15" t="s">
        <v>37</v>
      </c>
      <c r="H13" s="18" t="s">
        <v>40</v>
      </c>
      <c r="I13" s="16" t="s">
        <v>26</v>
      </c>
      <c r="J13" s="16" t="s">
        <v>26</v>
      </c>
      <c r="K13" s="17"/>
      <c r="L13" s="17" t="str">
        <f>"42,5"</f>
        <v>42,5</v>
      </c>
      <c r="M13" s="17" t="str">
        <f>"53,0612"</f>
        <v>53,0612</v>
      </c>
      <c r="N13" s="15" t="s">
        <v>31</v>
      </c>
    </row>
    <row r="14" ht="12.75">
      <c r="B14" s="5" t="s">
        <v>32</v>
      </c>
    </row>
    <row r="15" spans="1:13" ht="15">
      <c r="A15" s="45" t="s">
        <v>218</v>
      </c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</row>
    <row r="16" spans="1:14" ht="12.75">
      <c r="A16" s="14" t="s">
        <v>139</v>
      </c>
      <c r="B16" s="11" t="s">
        <v>457</v>
      </c>
      <c r="C16" s="11" t="s">
        <v>458</v>
      </c>
      <c r="D16" s="11" t="s">
        <v>459</v>
      </c>
      <c r="E16" s="11" t="str">
        <f>"1,1985"</f>
        <v>1,1985</v>
      </c>
      <c r="F16" s="11" t="s">
        <v>20</v>
      </c>
      <c r="G16" s="11" t="s">
        <v>37</v>
      </c>
      <c r="H16" s="12" t="s">
        <v>25</v>
      </c>
      <c r="I16" s="12" t="s">
        <v>27</v>
      </c>
      <c r="J16" s="12" t="s">
        <v>27</v>
      </c>
      <c r="K16" s="14"/>
      <c r="L16" s="14" t="s">
        <v>143</v>
      </c>
      <c r="M16" s="14" t="str">
        <f>"0,0000"</f>
        <v>0,0000</v>
      </c>
      <c r="N16" s="11" t="s">
        <v>31</v>
      </c>
    </row>
    <row r="17" spans="1:14" ht="12.75">
      <c r="A17" s="17" t="s">
        <v>16</v>
      </c>
      <c r="B17" s="15" t="s">
        <v>460</v>
      </c>
      <c r="C17" s="15" t="s">
        <v>461</v>
      </c>
      <c r="D17" s="15" t="s">
        <v>462</v>
      </c>
      <c r="E17" s="15" t="str">
        <f>"1,2374"</f>
        <v>1,2374</v>
      </c>
      <c r="F17" s="15" t="s">
        <v>20</v>
      </c>
      <c r="G17" s="32" t="s">
        <v>37</v>
      </c>
      <c r="H17" s="18" t="s">
        <v>40</v>
      </c>
      <c r="I17" s="16" t="s">
        <v>25</v>
      </c>
      <c r="J17" s="16" t="s">
        <v>25</v>
      </c>
      <c r="K17" s="17"/>
      <c r="L17" s="17" t="str">
        <f>"42,5"</f>
        <v>42,5</v>
      </c>
      <c r="M17" s="17" t="str">
        <f>"52,5895"</f>
        <v>52,5895</v>
      </c>
      <c r="N17" s="15" t="s">
        <v>463</v>
      </c>
    </row>
    <row r="18" ht="12.75">
      <c r="B18" s="5" t="s">
        <v>32</v>
      </c>
    </row>
    <row r="19" spans="1:13" ht="15">
      <c r="A19" s="45" t="s">
        <v>33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4" ht="12.75">
      <c r="A20" s="10" t="s">
        <v>16</v>
      </c>
      <c r="B20" s="7" t="s">
        <v>464</v>
      </c>
      <c r="C20" s="7" t="s">
        <v>465</v>
      </c>
      <c r="D20" s="7" t="s">
        <v>466</v>
      </c>
      <c r="E20" s="7" t="str">
        <f>"1,3354"</f>
        <v>1,3354</v>
      </c>
      <c r="F20" s="7" t="s">
        <v>20</v>
      </c>
      <c r="G20" s="7" t="s">
        <v>452</v>
      </c>
      <c r="H20" s="9" t="s">
        <v>467</v>
      </c>
      <c r="I20" s="9" t="s">
        <v>468</v>
      </c>
      <c r="J20" s="9" t="s">
        <v>202</v>
      </c>
      <c r="K20" s="10"/>
      <c r="L20" s="10" t="str">
        <f>"25,0"</f>
        <v>25,0</v>
      </c>
      <c r="M20" s="10" t="str">
        <f>"33,3850"</f>
        <v>33,3850</v>
      </c>
      <c r="N20" s="7" t="s">
        <v>469</v>
      </c>
    </row>
    <row r="21" ht="12.75">
      <c r="B21" s="5" t="s">
        <v>32</v>
      </c>
    </row>
    <row r="22" spans="1:13" ht="15">
      <c r="A22" s="45" t="s">
        <v>218</v>
      </c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</row>
    <row r="23" spans="1:14" ht="12.75">
      <c r="A23" s="14" t="s">
        <v>16</v>
      </c>
      <c r="B23" s="11" t="s">
        <v>470</v>
      </c>
      <c r="C23" s="11" t="s">
        <v>471</v>
      </c>
      <c r="D23" s="11" t="s">
        <v>472</v>
      </c>
      <c r="E23" s="11" t="str">
        <f>"0,9528"</f>
        <v>0,9528</v>
      </c>
      <c r="F23" s="11" t="s">
        <v>20</v>
      </c>
      <c r="G23" s="11" t="s">
        <v>37</v>
      </c>
      <c r="H23" s="13" t="s">
        <v>51</v>
      </c>
      <c r="I23" s="13" t="s">
        <v>52</v>
      </c>
      <c r="J23" s="13" t="s">
        <v>205</v>
      </c>
      <c r="K23" s="14"/>
      <c r="L23" s="14" t="str">
        <f>"65,0"</f>
        <v>65,0</v>
      </c>
      <c r="M23" s="14" t="str">
        <f>"61,9320"</f>
        <v>61,9320</v>
      </c>
      <c r="N23" s="11" t="s">
        <v>473</v>
      </c>
    </row>
    <row r="24" spans="1:14" ht="12.75">
      <c r="A24" s="17" t="s">
        <v>16</v>
      </c>
      <c r="B24" s="15" t="s">
        <v>474</v>
      </c>
      <c r="C24" s="15" t="s">
        <v>475</v>
      </c>
      <c r="D24" s="15" t="s">
        <v>476</v>
      </c>
      <c r="E24" s="15" t="str">
        <f>"0,9103"</f>
        <v>0,9103</v>
      </c>
      <c r="F24" s="15" t="s">
        <v>20</v>
      </c>
      <c r="G24" s="15" t="s">
        <v>37</v>
      </c>
      <c r="H24" s="18" t="s">
        <v>39</v>
      </c>
      <c r="I24" s="18" t="s">
        <v>70</v>
      </c>
      <c r="J24" s="16" t="s">
        <v>41</v>
      </c>
      <c r="K24" s="17"/>
      <c r="L24" s="17" t="str">
        <f>"85,0"</f>
        <v>85,0</v>
      </c>
      <c r="M24" s="17" t="str">
        <f>"77,3755"</f>
        <v>77,3755</v>
      </c>
      <c r="N24" s="15" t="s">
        <v>477</v>
      </c>
    </row>
    <row r="25" ht="12.75">
      <c r="B25" s="5" t="s">
        <v>32</v>
      </c>
    </row>
    <row r="26" spans="1:13" ht="15">
      <c r="A26" s="45" t="s">
        <v>80</v>
      </c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</row>
    <row r="27" spans="1:14" ht="12.75">
      <c r="A27" s="10" t="s">
        <v>16</v>
      </c>
      <c r="B27" s="7" t="s">
        <v>478</v>
      </c>
      <c r="C27" s="7" t="s">
        <v>479</v>
      </c>
      <c r="D27" s="7" t="s">
        <v>480</v>
      </c>
      <c r="E27" s="7" t="str">
        <f>"0,8568"</f>
        <v>0,8568</v>
      </c>
      <c r="F27" s="7" t="s">
        <v>20</v>
      </c>
      <c r="G27" s="7" t="s">
        <v>481</v>
      </c>
      <c r="H27" s="8" t="s">
        <v>60</v>
      </c>
      <c r="I27" s="9" t="s">
        <v>48</v>
      </c>
      <c r="J27" s="9" t="s">
        <v>28</v>
      </c>
      <c r="K27" s="10"/>
      <c r="L27" s="10" t="str">
        <f>"112,5"</f>
        <v>112,5</v>
      </c>
      <c r="M27" s="10" t="str">
        <f>"96,3900"</f>
        <v>96,3900</v>
      </c>
      <c r="N27" s="7" t="s">
        <v>31</v>
      </c>
    </row>
    <row r="28" ht="12.75">
      <c r="B28" s="5" t="s">
        <v>32</v>
      </c>
    </row>
    <row r="29" spans="1:13" ht="15">
      <c r="A29" s="45" t="s">
        <v>44</v>
      </c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 ht="12.75">
      <c r="A30" s="14" t="s">
        <v>16</v>
      </c>
      <c r="B30" s="11" t="s">
        <v>482</v>
      </c>
      <c r="C30" s="11" t="s">
        <v>483</v>
      </c>
      <c r="D30" s="11" t="s">
        <v>484</v>
      </c>
      <c r="E30" s="11" t="str">
        <f>"0,7973"</f>
        <v>0,7973</v>
      </c>
      <c r="F30" s="11" t="s">
        <v>20</v>
      </c>
      <c r="G30" s="11" t="s">
        <v>21</v>
      </c>
      <c r="H30" s="12" t="s">
        <v>51</v>
      </c>
      <c r="I30" s="13" t="s">
        <v>51</v>
      </c>
      <c r="J30" s="12" t="s">
        <v>52</v>
      </c>
      <c r="K30" s="14"/>
      <c r="L30" s="14" t="str">
        <f>"55,0"</f>
        <v>55,0</v>
      </c>
      <c r="M30" s="14" t="str">
        <f>"43,8515"</f>
        <v>43,8515</v>
      </c>
      <c r="N30" s="11" t="s">
        <v>485</v>
      </c>
    </row>
    <row r="31" spans="1:14" ht="12.75">
      <c r="A31" s="21" t="s">
        <v>16</v>
      </c>
      <c r="B31" s="19" t="s">
        <v>486</v>
      </c>
      <c r="C31" s="19" t="s">
        <v>487</v>
      </c>
      <c r="D31" s="19" t="s">
        <v>488</v>
      </c>
      <c r="E31" s="19" t="str">
        <f>"0,8078"</f>
        <v>0,8078</v>
      </c>
      <c r="F31" s="19" t="s">
        <v>20</v>
      </c>
      <c r="G31" s="19" t="s">
        <v>37</v>
      </c>
      <c r="H31" s="20" t="s">
        <v>42</v>
      </c>
      <c r="I31" s="20" t="s">
        <v>77</v>
      </c>
      <c r="J31" s="20" t="s">
        <v>48</v>
      </c>
      <c r="K31" s="21"/>
      <c r="L31" s="21" t="str">
        <f>"110,0"</f>
        <v>110,0</v>
      </c>
      <c r="M31" s="21" t="str">
        <f>"88,8580"</f>
        <v>88,8580</v>
      </c>
      <c r="N31" s="19" t="s">
        <v>64</v>
      </c>
    </row>
    <row r="32" spans="1:14" ht="12.75">
      <c r="A32" s="21" t="s">
        <v>16</v>
      </c>
      <c r="B32" s="19" t="s">
        <v>85</v>
      </c>
      <c r="C32" s="19" t="s">
        <v>489</v>
      </c>
      <c r="D32" s="19" t="s">
        <v>59</v>
      </c>
      <c r="E32" s="19" t="str">
        <f>"0,7832"</f>
        <v>0,7832</v>
      </c>
      <c r="F32" s="19" t="s">
        <v>87</v>
      </c>
      <c r="G32" s="19" t="s">
        <v>37</v>
      </c>
      <c r="H32" s="20" t="s">
        <v>89</v>
      </c>
      <c r="I32" s="20" t="s">
        <v>60</v>
      </c>
      <c r="J32" s="21"/>
      <c r="K32" s="21"/>
      <c r="L32" s="21" t="str">
        <f>"105,0"</f>
        <v>105,0</v>
      </c>
      <c r="M32" s="21" t="str">
        <f>"82,2360"</f>
        <v>82,2360</v>
      </c>
      <c r="N32" s="19" t="s">
        <v>92</v>
      </c>
    </row>
    <row r="33" spans="1:14" ht="12.75">
      <c r="A33" s="21" t="s">
        <v>16</v>
      </c>
      <c r="B33" s="19" t="s">
        <v>490</v>
      </c>
      <c r="C33" s="19" t="s">
        <v>491</v>
      </c>
      <c r="D33" s="19" t="s">
        <v>492</v>
      </c>
      <c r="E33" s="19" t="str">
        <f>"0,7794"</f>
        <v>0,7794</v>
      </c>
      <c r="F33" s="19" t="s">
        <v>20</v>
      </c>
      <c r="G33" s="19" t="s">
        <v>21</v>
      </c>
      <c r="H33" s="20" t="s">
        <v>30</v>
      </c>
      <c r="I33" s="20" t="s">
        <v>61</v>
      </c>
      <c r="J33" s="22" t="s">
        <v>73</v>
      </c>
      <c r="K33" s="21"/>
      <c r="L33" s="21" t="str">
        <f>"125,0"</f>
        <v>125,0</v>
      </c>
      <c r="M33" s="21" t="str">
        <f>"97,4250"</f>
        <v>97,4250</v>
      </c>
      <c r="N33" s="19" t="s">
        <v>31</v>
      </c>
    </row>
    <row r="34" spans="1:14" ht="12.75">
      <c r="A34" s="21" t="s">
        <v>16</v>
      </c>
      <c r="B34" s="19" t="s">
        <v>493</v>
      </c>
      <c r="C34" s="19" t="s">
        <v>494</v>
      </c>
      <c r="D34" s="19" t="s">
        <v>495</v>
      </c>
      <c r="E34" s="19" t="str">
        <f>"0,7756"</f>
        <v>0,7756</v>
      </c>
      <c r="F34" s="19" t="s">
        <v>20</v>
      </c>
      <c r="G34" s="19" t="s">
        <v>37</v>
      </c>
      <c r="H34" s="20" t="s">
        <v>71</v>
      </c>
      <c r="I34" s="22" t="s">
        <v>77</v>
      </c>
      <c r="J34" s="22" t="s">
        <v>77</v>
      </c>
      <c r="K34" s="21"/>
      <c r="L34" s="21" t="str">
        <f>"102,5"</f>
        <v>102,5</v>
      </c>
      <c r="M34" s="21" t="str">
        <f>"89,9929"</f>
        <v>89,9929</v>
      </c>
      <c r="N34" s="19" t="s">
        <v>31</v>
      </c>
    </row>
    <row r="35" spans="1:14" ht="12.75">
      <c r="A35" s="17" t="s">
        <v>16</v>
      </c>
      <c r="B35" s="15" t="s">
        <v>496</v>
      </c>
      <c r="C35" s="15" t="s">
        <v>497</v>
      </c>
      <c r="D35" s="15" t="s">
        <v>498</v>
      </c>
      <c r="E35" s="15" t="str">
        <f>"0,7710"</f>
        <v>0,7710</v>
      </c>
      <c r="F35" s="15" t="s">
        <v>20</v>
      </c>
      <c r="G35" s="15" t="s">
        <v>499</v>
      </c>
      <c r="H35" s="18" t="s">
        <v>43</v>
      </c>
      <c r="I35" s="16" t="s">
        <v>60</v>
      </c>
      <c r="J35" s="18" t="s">
        <v>60</v>
      </c>
      <c r="K35" s="17"/>
      <c r="L35" s="17" t="str">
        <f>"105,0"</f>
        <v>105,0</v>
      </c>
      <c r="M35" s="17" t="str">
        <f>"111,7179"</f>
        <v>111,7179</v>
      </c>
      <c r="N35" s="15" t="s">
        <v>500</v>
      </c>
    </row>
    <row r="36" ht="12.75">
      <c r="B36" s="5" t="s">
        <v>32</v>
      </c>
    </row>
    <row r="37" spans="1:13" ht="15">
      <c r="A37" s="45" t="s">
        <v>93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4" ht="12.75">
      <c r="A38" s="14" t="s">
        <v>16</v>
      </c>
      <c r="B38" s="11" t="s">
        <v>501</v>
      </c>
      <c r="C38" s="11" t="s">
        <v>502</v>
      </c>
      <c r="D38" s="11" t="s">
        <v>503</v>
      </c>
      <c r="E38" s="11" t="str">
        <f>"0,7179"</f>
        <v>0,7179</v>
      </c>
      <c r="F38" s="11" t="s">
        <v>20</v>
      </c>
      <c r="G38" s="11" t="s">
        <v>504</v>
      </c>
      <c r="H38" s="13" t="s">
        <v>63</v>
      </c>
      <c r="I38" s="13" t="s">
        <v>88</v>
      </c>
      <c r="J38" s="13" t="s">
        <v>155</v>
      </c>
      <c r="K38" s="14"/>
      <c r="L38" s="14" t="str">
        <f>"155,0"</f>
        <v>155,0</v>
      </c>
      <c r="M38" s="14" t="str">
        <f>"111,2745"</f>
        <v>111,2745</v>
      </c>
      <c r="N38" s="11" t="s">
        <v>500</v>
      </c>
    </row>
    <row r="39" spans="1:14" ht="12.75">
      <c r="A39" s="21" t="s">
        <v>16</v>
      </c>
      <c r="B39" s="19" t="s">
        <v>505</v>
      </c>
      <c r="C39" s="19" t="s">
        <v>506</v>
      </c>
      <c r="D39" s="19" t="s">
        <v>274</v>
      </c>
      <c r="E39" s="19" t="str">
        <f>"0,7221"</f>
        <v>0,7221</v>
      </c>
      <c r="F39" s="19" t="s">
        <v>20</v>
      </c>
      <c r="G39" s="19" t="s">
        <v>37</v>
      </c>
      <c r="H39" s="20" t="s">
        <v>62</v>
      </c>
      <c r="I39" s="20" t="s">
        <v>63</v>
      </c>
      <c r="J39" s="22" t="s">
        <v>88</v>
      </c>
      <c r="K39" s="21"/>
      <c r="L39" s="21" t="str">
        <f>"140,0"</f>
        <v>140,0</v>
      </c>
      <c r="M39" s="21" t="str">
        <f>"101,0940"</f>
        <v>101,0940</v>
      </c>
      <c r="N39" s="19" t="s">
        <v>31</v>
      </c>
    </row>
    <row r="40" spans="1:14" ht="12.75">
      <c r="A40" s="21" t="s">
        <v>56</v>
      </c>
      <c r="B40" s="19" t="s">
        <v>507</v>
      </c>
      <c r="C40" s="19" t="s">
        <v>508</v>
      </c>
      <c r="D40" s="19" t="s">
        <v>509</v>
      </c>
      <c r="E40" s="19" t="str">
        <f>"0,7300"</f>
        <v>0,7300</v>
      </c>
      <c r="F40" s="19" t="s">
        <v>20</v>
      </c>
      <c r="G40" s="19" t="s">
        <v>37</v>
      </c>
      <c r="H40" s="20" t="s">
        <v>73</v>
      </c>
      <c r="I40" s="22" t="s">
        <v>62</v>
      </c>
      <c r="J40" s="22" t="s">
        <v>62</v>
      </c>
      <c r="K40" s="21"/>
      <c r="L40" s="21" t="str">
        <f>"127,5"</f>
        <v>127,5</v>
      </c>
      <c r="M40" s="21" t="str">
        <f>"93,0750"</f>
        <v>93,0750</v>
      </c>
      <c r="N40" s="19" t="s">
        <v>31</v>
      </c>
    </row>
    <row r="41" spans="1:14" ht="12.75">
      <c r="A41" s="21" t="s">
        <v>65</v>
      </c>
      <c r="B41" s="19" t="s">
        <v>510</v>
      </c>
      <c r="C41" s="19" t="s">
        <v>511</v>
      </c>
      <c r="D41" s="19" t="s">
        <v>503</v>
      </c>
      <c r="E41" s="19" t="str">
        <f>"0,7179"</f>
        <v>0,7179</v>
      </c>
      <c r="F41" s="19" t="s">
        <v>20</v>
      </c>
      <c r="G41" s="19" t="s">
        <v>37</v>
      </c>
      <c r="H41" s="20" t="s">
        <v>61</v>
      </c>
      <c r="I41" s="22" t="s">
        <v>62</v>
      </c>
      <c r="J41" s="22" t="s">
        <v>62</v>
      </c>
      <c r="K41" s="21"/>
      <c r="L41" s="21" t="str">
        <f>"125,0"</f>
        <v>125,0</v>
      </c>
      <c r="M41" s="21" t="str">
        <f>"89,7375"</f>
        <v>89,7375</v>
      </c>
      <c r="N41" s="19" t="s">
        <v>31</v>
      </c>
    </row>
    <row r="42" spans="1:14" ht="12.75">
      <c r="A42" s="21" t="s">
        <v>74</v>
      </c>
      <c r="B42" s="19" t="s">
        <v>512</v>
      </c>
      <c r="C42" s="19" t="s">
        <v>513</v>
      </c>
      <c r="D42" s="19" t="s">
        <v>514</v>
      </c>
      <c r="E42" s="19" t="str">
        <f>"0,7126"</f>
        <v>0,7126</v>
      </c>
      <c r="F42" s="19" t="s">
        <v>20</v>
      </c>
      <c r="G42" s="19" t="s">
        <v>37</v>
      </c>
      <c r="H42" s="20" t="s">
        <v>30</v>
      </c>
      <c r="I42" s="22" t="s">
        <v>53</v>
      </c>
      <c r="J42" s="22" t="s">
        <v>62</v>
      </c>
      <c r="K42" s="21"/>
      <c r="L42" s="21" t="str">
        <f>"120,0"</f>
        <v>120,0</v>
      </c>
      <c r="M42" s="21" t="str">
        <f>"85,5120"</f>
        <v>85,5120</v>
      </c>
      <c r="N42" s="19" t="s">
        <v>515</v>
      </c>
    </row>
    <row r="43" spans="1:14" ht="12.75">
      <c r="A43" s="17" t="s">
        <v>16</v>
      </c>
      <c r="B43" s="15" t="s">
        <v>516</v>
      </c>
      <c r="C43" s="15" t="s">
        <v>517</v>
      </c>
      <c r="D43" s="15" t="s">
        <v>518</v>
      </c>
      <c r="E43" s="15" t="str">
        <f>"0,7146"</f>
        <v>0,7146</v>
      </c>
      <c r="F43" s="15" t="s">
        <v>20</v>
      </c>
      <c r="G43" s="15" t="s">
        <v>504</v>
      </c>
      <c r="H43" s="18" t="s">
        <v>49</v>
      </c>
      <c r="I43" s="18" t="s">
        <v>30</v>
      </c>
      <c r="J43" s="16" t="s">
        <v>61</v>
      </c>
      <c r="K43" s="17"/>
      <c r="L43" s="17" t="str">
        <f>"120,0"</f>
        <v>120,0</v>
      </c>
      <c r="M43" s="17" t="str">
        <f>"149,2085"</f>
        <v>149,2085</v>
      </c>
      <c r="N43" s="15" t="s">
        <v>31</v>
      </c>
    </row>
    <row r="44" ht="12.75">
      <c r="B44" s="5" t="s">
        <v>32</v>
      </c>
    </row>
    <row r="45" spans="1:13" ht="15">
      <c r="A45" s="45" t="s">
        <v>107</v>
      </c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4" ht="12.75">
      <c r="A46" s="14" t="s">
        <v>16</v>
      </c>
      <c r="B46" s="11" t="s">
        <v>519</v>
      </c>
      <c r="C46" s="11" t="s">
        <v>520</v>
      </c>
      <c r="D46" s="11" t="s">
        <v>115</v>
      </c>
      <c r="E46" s="11" t="str">
        <f>"0,6769"</f>
        <v>0,6769</v>
      </c>
      <c r="F46" s="11" t="s">
        <v>20</v>
      </c>
      <c r="G46" s="11" t="s">
        <v>37</v>
      </c>
      <c r="H46" s="13" t="s">
        <v>53</v>
      </c>
      <c r="I46" s="12" t="s">
        <v>63</v>
      </c>
      <c r="J46" s="13" t="s">
        <v>63</v>
      </c>
      <c r="K46" s="14"/>
      <c r="L46" s="14" t="str">
        <f>"140,0"</f>
        <v>140,0</v>
      </c>
      <c r="M46" s="14" t="str">
        <f>"94,7660"</f>
        <v>94,7660</v>
      </c>
      <c r="N46" s="11" t="s">
        <v>521</v>
      </c>
    </row>
    <row r="47" spans="1:14" ht="12.75">
      <c r="A47" s="21" t="s">
        <v>56</v>
      </c>
      <c r="B47" s="19" t="s">
        <v>522</v>
      </c>
      <c r="C47" s="19" t="s">
        <v>523</v>
      </c>
      <c r="D47" s="19" t="s">
        <v>524</v>
      </c>
      <c r="E47" s="19" t="str">
        <f>"0,6832"</f>
        <v>0,6832</v>
      </c>
      <c r="F47" s="19" t="s">
        <v>20</v>
      </c>
      <c r="G47" s="19" t="s">
        <v>129</v>
      </c>
      <c r="H47" s="20" t="s">
        <v>30</v>
      </c>
      <c r="I47" s="20" t="s">
        <v>61</v>
      </c>
      <c r="J47" s="22" t="s">
        <v>53</v>
      </c>
      <c r="K47" s="21"/>
      <c r="L47" s="21" t="str">
        <f>"125,0"</f>
        <v>125,0</v>
      </c>
      <c r="M47" s="21" t="str">
        <f>"85,4000"</f>
        <v>85,4000</v>
      </c>
      <c r="N47" s="19" t="s">
        <v>31</v>
      </c>
    </row>
    <row r="48" spans="1:14" ht="12.75">
      <c r="A48" s="21" t="s">
        <v>16</v>
      </c>
      <c r="B48" s="19" t="s">
        <v>525</v>
      </c>
      <c r="C48" s="19" t="s">
        <v>526</v>
      </c>
      <c r="D48" s="19" t="s">
        <v>115</v>
      </c>
      <c r="E48" s="19" t="str">
        <f>"0,6769"</f>
        <v>0,6769</v>
      </c>
      <c r="F48" s="19" t="s">
        <v>20</v>
      </c>
      <c r="G48" s="19" t="s">
        <v>37</v>
      </c>
      <c r="H48" s="20" t="s">
        <v>61</v>
      </c>
      <c r="I48" s="20" t="s">
        <v>53</v>
      </c>
      <c r="J48" s="22" t="s">
        <v>299</v>
      </c>
      <c r="K48" s="21"/>
      <c r="L48" s="21" t="str">
        <f>"130,0"</f>
        <v>130,0</v>
      </c>
      <c r="M48" s="21" t="str">
        <f>"87,9970"</f>
        <v>87,9970</v>
      </c>
      <c r="N48" s="19" t="s">
        <v>31</v>
      </c>
    </row>
    <row r="49" spans="1:14" ht="12.75">
      <c r="A49" s="21" t="s">
        <v>56</v>
      </c>
      <c r="B49" s="19" t="s">
        <v>527</v>
      </c>
      <c r="C49" s="19" t="s">
        <v>528</v>
      </c>
      <c r="D49" s="19" t="s">
        <v>529</v>
      </c>
      <c r="E49" s="19" t="str">
        <f>"0,6729"</f>
        <v>0,6729</v>
      </c>
      <c r="F49" s="19" t="s">
        <v>20</v>
      </c>
      <c r="G49" s="19" t="s">
        <v>21</v>
      </c>
      <c r="H49" s="20" t="s">
        <v>48</v>
      </c>
      <c r="I49" s="20" t="s">
        <v>73</v>
      </c>
      <c r="J49" s="22" t="s">
        <v>53</v>
      </c>
      <c r="K49" s="21"/>
      <c r="L49" s="21" t="str">
        <f>"127,5"</f>
        <v>127,5</v>
      </c>
      <c r="M49" s="21" t="str">
        <f>"85,7948"</f>
        <v>85,7948</v>
      </c>
      <c r="N49" s="19" t="s">
        <v>31</v>
      </c>
    </row>
    <row r="50" spans="1:14" ht="12.75">
      <c r="A50" s="21" t="s">
        <v>65</v>
      </c>
      <c r="B50" s="19" t="s">
        <v>530</v>
      </c>
      <c r="C50" s="19" t="s">
        <v>531</v>
      </c>
      <c r="D50" s="19" t="s">
        <v>532</v>
      </c>
      <c r="E50" s="19" t="str">
        <f>"0,6764"</f>
        <v>0,6764</v>
      </c>
      <c r="F50" s="19" t="s">
        <v>20</v>
      </c>
      <c r="G50" s="19" t="s">
        <v>37</v>
      </c>
      <c r="H50" s="20" t="s">
        <v>29</v>
      </c>
      <c r="I50" s="20" t="s">
        <v>50</v>
      </c>
      <c r="J50" s="22" t="s">
        <v>61</v>
      </c>
      <c r="K50" s="21"/>
      <c r="L50" s="21" t="str">
        <f>"122,5"</f>
        <v>122,5</v>
      </c>
      <c r="M50" s="21" t="str">
        <f>"82,8590"</f>
        <v>82,8590</v>
      </c>
      <c r="N50" s="19" t="s">
        <v>31</v>
      </c>
    </row>
    <row r="51" spans="1:14" ht="12.75">
      <c r="A51" s="17" t="s">
        <v>74</v>
      </c>
      <c r="B51" s="15" t="s">
        <v>533</v>
      </c>
      <c r="C51" s="15" t="s">
        <v>534</v>
      </c>
      <c r="D51" s="15" t="s">
        <v>535</v>
      </c>
      <c r="E51" s="15" t="str">
        <f>"0,6854"</f>
        <v>0,6854</v>
      </c>
      <c r="F51" s="15" t="s">
        <v>20</v>
      </c>
      <c r="G51" s="15" t="s">
        <v>37</v>
      </c>
      <c r="H51" s="18" t="s">
        <v>29</v>
      </c>
      <c r="I51" s="18" t="s">
        <v>30</v>
      </c>
      <c r="J51" s="16" t="s">
        <v>73</v>
      </c>
      <c r="K51" s="17"/>
      <c r="L51" s="17" t="str">
        <f>"120,0"</f>
        <v>120,0</v>
      </c>
      <c r="M51" s="17" t="str">
        <f>"82,2480"</f>
        <v>82,2480</v>
      </c>
      <c r="N51" s="15" t="s">
        <v>31</v>
      </c>
    </row>
    <row r="52" ht="12.75">
      <c r="B52" s="5" t="s">
        <v>32</v>
      </c>
    </row>
    <row r="53" spans="1:13" ht="15">
      <c r="A53" s="45" t="s">
        <v>119</v>
      </c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4" ht="12.75">
      <c r="A54" s="14" t="s">
        <v>16</v>
      </c>
      <c r="B54" s="11" t="s">
        <v>536</v>
      </c>
      <c r="C54" s="11" t="s">
        <v>537</v>
      </c>
      <c r="D54" s="11" t="s">
        <v>142</v>
      </c>
      <c r="E54" s="11" t="str">
        <f>"0,6413"</f>
        <v>0,6413</v>
      </c>
      <c r="F54" s="11" t="s">
        <v>20</v>
      </c>
      <c r="G54" s="11" t="s">
        <v>37</v>
      </c>
      <c r="H54" s="13" t="s">
        <v>88</v>
      </c>
      <c r="I54" s="13" t="s">
        <v>132</v>
      </c>
      <c r="J54" s="13" t="s">
        <v>116</v>
      </c>
      <c r="K54" s="14"/>
      <c r="L54" s="14" t="str">
        <f>"157,5"</f>
        <v>157,5</v>
      </c>
      <c r="M54" s="14" t="str">
        <f>"101,0048"</f>
        <v>101,0048</v>
      </c>
      <c r="N54" s="11" t="s">
        <v>31</v>
      </c>
    </row>
    <row r="55" spans="1:14" ht="12.75">
      <c r="A55" s="21" t="s">
        <v>16</v>
      </c>
      <c r="B55" s="19" t="s">
        <v>538</v>
      </c>
      <c r="C55" s="19" t="s">
        <v>539</v>
      </c>
      <c r="D55" s="19" t="s">
        <v>540</v>
      </c>
      <c r="E55" s="19" t="str">
        <f>"0,6395"</f>
        <v>0,6395</v>
      </c>
      <c r="F55" s="19" t="s">
        <v>20</v>
      </c>
      <c r="G55" s="19" t="s">
        <v>37</v>
      </c>
      <c r="H55" s="20" t="s">
        <v>253</v>
      </c>
      <c r="I55" s="20" t="s">
        <v>161</v>
      </c>
      <c r="J55" s="22" t="s">
        <v>309</v>
      </c>
      <c r="K55" s="21"/>
      <c r="L55" s="21" t="str">
        <f>"230,0"</f>
        <v>230,0</v>
      </c>
      <c r="M55" s="21" t="str">
        <f>"147,0850"</f>
        <v>147,0850</v>
      </c>
      <c r="N55" s="19" t="s">
        <v>541</v>
      </c>
    </row>
    <row r="56" spans="1:14" ht="12.75">
      <c r="A56" s="21" t="s">
        <v>56</v>
      </c>
      <c r="B56" s="19" t="s">
        <v>360</v>
      </c>
      <c r="C56" s="19" t="s">
        <v>361</v>
      </c>
      <c r="D56" s="19" t="s">
        <v>362</v>
      </c>
      <c r="E56" s="19" t="str">
        <f>"0,6440"</f>
        <v>0,6440</v>
      </c>
      <c r="F56" s="19" t="s">
        <v>20</v>
      </c>
      <c r="G56" s="19" t="s">
        <v>129</v>
      </c>
      <c r="H56" s="20" t="s">
        <v>155</v>
      </c>
      <c r="I56" s="20" t="s">
        <v>105</v>
      </c>
      <c r="J56" s="21" t="s">
        <v>98</v>
      </c>
      <c r="K56" s="21"/>
      <c r="L56" s="21" t="str">
        <f>"165,0"</f>
        <v>165,0</v>
      </c>
      <c r="M56" s="21" t="str">
        <f>"106,2600"</f>
        <v>106,2600</v>
      </c>
      <c r="N56" s="19" t="s">
        <v>134</v>
      </c>
    </row>
    <row r="57" spans="1:14" ht="12.75">
      <c r="A57" s="21" t="s">
        <v>65</v>
      </c>
      <c r="B57" s="19" t="s">
        <v>542</v>
      </c>
      <c r="C57" s="19" t="s">
        <v>543</v>
      </c>
      <c r="D57" s="19" t="s">
        <v>544</v>
      </c>
      <c r="E57" s="19" t="str">
        <f>"0,6583"</f>
        <v>0,6583</v>
      </c>
      <c r="F57" s="19" t="s">
        <v>20</v>
      </c>
      <c r="G57" s="19" t="s">
        <v>129</v>
      </c>
      <c r="H57" s="20" t="s">
        <v>155</v>
      </c>
      <c r="I57" s="22" t="s">
        <v>105</v>
      </c>
      <c r="J57" s="22" t="s">
        <v>105</v>
      </c>
      <c r="K57" s="21"/>
      <c r="L57" s="21" t="str">
        <f>"155,0"</f>
        <v>155,0</v>
      </c>
      <c r="M57" s="21" t="str">
        <f>"102,0365"</f>
        <v>102,0365</v>
      </c>
      <c r="N57" s="19" t="s">
        <v>31</v>
      </c>
    </row>
    <row r="58" spans="1:14" ht="12.75">
      <c r="A58" s="21" t="s">
        <v>74</v>
      </c>
      <c r="B58" s="19" t="s">
        <v>545</v>
      </c>
      <c r="C58" s="19" t="s">
        <v>546</v>
      </c>
      <c r="D58" s="19" t="s">
        <v>544</v>
      </c>
      <c r="E58" s="19" t="str">
        <f>"0,6583"</f>
        <v>0,6583</v>
      </c>
      <c r="F58" s="19" t="s">
        <v>20</v>
      </c>
      <c r="G58" s="19" t="s">
        <v>37</v>
      </c>
      <c r="H58" s="20" t="s">
        <v>62</v>
      </c>
      <c r="I58" s="20" t="s">
        <v>88</v>
      </c>
      <c r="J58" s="20" t="s">
        <v>132</v>
      </c>
      <c r="K58" s="21"/>
      <c r="L58" s="21" t="str">
        <f>"152,5"</f>
        <v>152,5</v>
      </c>
      <c r="M58" s="21" t="str">
        <f>"100,3907"</f>
        <v>100,3907</v>
      </c>
      <c r="N58" s="19" t="s">
        <v>31</v>
      </c>
    </row>
    <row r="59" spans="1:14" ht="12.75">
      <c r="A59" s="21" t="s">
        <v>547</v>
      </c>
      <c r="B59" s="19" t="s">
        <v>548</v>
      </c>
      <c r="C59" s="19" t="s">
        <v>549</v>
      </c>
      <c r="D59" s="19" t="s">
        <v>362</v>
      </c>
      <c r="E59" s="19" t="str">
        <f>"0,6440"</f>
        <v>0,6440</v>
      </c>
      <c r="F59" s="19" t="s">
        <v>20</v>
      </c>
      <c r="G59" s="19" t="s">
        <v>37</v>
      </c>
      <c r="H59" s="20" t="s">
        <v>63</v>
      </c>
      <c r="I59" s="20" t="s">
        <v>132</v>
      </c>
      <c r="J59" s="22" t="s">
        <v>116</v>
      </c>
      <c r="K59" s="21"/>
      <c r="L59" s="21" t="str">
        <f>"152,5"</f>
        <v>152,5</v>
      </c>
      <c r="M59" s="21" t="str">
        <f>"98,2100"</f>
        <v>98,2100</v>
      </c>
      <c r="N59" s="19" t="s">
        <v>31</v>
      </c>
    </row>
    <row r="60" spans="1:14" ht="12.75">
      <c r="A60" s="21" t="s">
        <v>550</v>
      </c>
      <c r="B60" s="19" t="s">
        <v>363</v>
      </c>
      <c r="C60" s="19" t="s">
        <v>364</v>
      </c>
      <c r="D60" s="19" t="s">
        <v>365</v>
      </c>
      <c r="E60" s="19" t="str">
        <f>"0,6384"</f>
        <v>0,6384</v>
      </c>
      <c r="F60" s="19" t="s">
        <v>20</v>
      </c>
      <c r="G60" s="19" t="s">
        <v>37</v>
      </c>
      <c r="H60" s="20" t="s">
        <v>88</v>
      </c>
      <c r="I60" s="22" t="s">
        <v>132</v>
      </c>
      <c r="J60" s="22" t="s">
        <v>132</v>
      </c>
      <c r="K60" s="21"/>
      <c r="L60" s="21" t="str">
        <f>"145,0"</f>
        <v>145,0</v>
      </c>
      <c r="M60" s="21" t="str">
        <f>"92,5680"</f>
        <v>92,5680</v>
      </c>
      <c r="N60" s="19" t="s">
        <v>31</v>
      </c>
    </row>
    <row r="61" spans="1:14" ht="12.75">
      <c r="A61" s="21" t="s">
        <v>551</v>
      </c>
      <c r="B61" s="19" t="s">
        <v>552</v>
      </c>
      <c r="C61" s="19" t="s">
        <v>553</v>
      </c>
      <c r="D61" s="19" t="s">
        <v>554</v>
      </c>
      <c r="E61" s="19" t="str">
        <f>"0,6432"</f>
        <v>0,6432</v>
      </c>
      <c r="F61" s="19" t="s">
        <v>20</v>
      </c>
      <c r="G61" s="19" t="s">
        <v>21</v>
      </c>
      <c r="H61" s="20" t="s">
        <v>61</v>
      </c>
      <c r="I61" s="20" t="s">
        <v>299</v>
      </c>
      <c r="J61" s="20" t="s">
        <v>63</v>
      </c>
      <c r="K61" s="21"/>
      <c r="L61" s="21" t="str">
        <f>"140,0"</f>
        <v>140,0</v>
      </c>
      <c r="M61" s="21" t="str">
        <f>"90,0480"</f>
        <v>90,0480</v>
      </c>
      <c r="N61" s="19" t="s">
        <v>64</v>
      </c>
    </row>
    <row r="62" spans="1:14" ht="12.75">
      <c r="A62" s="21" t="s">
        <v>555</v>
      </c>
      <c r="B62" s="19" t="s">
        <v>556</v>
      </c>
      <c r="C62" s="19" t="s">
        <v>557</v>
      </c>
      <c r="D62" s="19" t="s">
        <v>142</v>
      </c>
      <c r="E62" s="19" t="str">
        <f>"0,6413"</f>
        <v>0,6413</v>
      </c>
      <c r="F62" s="19" t="s">
        <v>20</v>
      </c>
      <c r="G62" s="19" t="s">
        <v>37</v>
      </c>
      <c r="H62" s="20" t="s">
        <v>30</v>
      </c>
      <c r="I62" s="22" t="s">
        <v>299</v>
      </c>
      <c r="J62" s="22" t="s">
        <v>299</v>
      </c>
      <c r="K62" s="21"/>
      <c r="L62" s="21" t="str">
        <f>"120,0"</f>
        <v>120,0</v>
      </c>
      <c r="M62" s="21" t="str">
        <f>"76,9560"</f>
        <v>76,9560</v>
      </c>
      <c r="N62" s="19" t="s">
        <v>31</v>
      </c>
    </row>
    <row r="63" spans="1:14" ht="12.75">
      <c r="A63" s="17" t="s">
        <v>16</v>
      </c>
      <c r="B63" s="15" t="s">
        <v>126</v>
      </c>
      <c r="C63" s="15" t="s">
        <v>558</v>
      </c>
      <c r="D63" s="15" t="s">
        <v>128</v>
      </c>
      <c r="E63" s="15" t="str">
        <f>"0,6463"</f>
        <v>0,6463</v>
      </c>
      <c r="F63" s="15" t="s">
        <v>20</v>
      </c>
      <c r="G63" s="15" t="s">
        <v>129</v>
      </c>
      <c r="H63" s="18" t="s">
        <v>88</v>
      </c>
      <c r="I63" s="18" t="s">
        <v>132</v>
      </c>
      <c r="J63" s="16" t="s">
        <v>123</v>
      </c>
      <c r="K63" s="17"/>
      <c r="L63" s="17" t="str">
        <f>"152,5"</f>
        <v>152,5</v>
      </c>
      <c r="M63" s="17" t="str">
        <f>"104,4744"</f>
        <v>104,4744</v>
      </c>
      <c r="N63" s="15" t="s">
        <v>134</v>
      </c>
    </row>
    <row r="64" ht="12.75">
      <c r="B64" s="5" t="s">
        <v>32</v>
      </c>
    </row>
    <row r="65" spans="1:13" ht="15">
      <c r="A65" s="45" t="s">
        <v>145</v>
      </c>
      <c r="B65" s="45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14" ht="12.75">
      <c r="A66" s="14" t="s">
        <v>16</v>
      </c>
      <c r="B66" s="11" t="s">
        <v>559</v>
      </c>
      <c r="C66" s="11" t="s">
        <v>560</v>
      </c>
      <c r="D66" s="11" t="s">
        <v>343</v>
      </c>
      <c r="E66" s="11" t="str">
        <f>"0,6098"</f>
        <v>0,6098</v>
      </c>
      <c r="F66" s="11" t="s">
        <v>20</v>
      </c>
      <c r="G66" s="11" t="s">
        <v>21</v>
      </c>
      <c r="H66" s="13" t="s">
        <v>30</v>
      </c>
      <c r="I66" s="12" t="s">
        <v>73</v>
      </c>
      <c r="J66" s="12" t="s">
        <v>73</v>
      </c>
      <c r="K66" s="14"/>
      <c r="L66" s="14" t="str">
        <f>"120,0"</f>
        <v>120,0</v>
      </c>
      <c r="M66" s="14" t="str">
        <f>"73,1760"</f>
        <v>73,1760</v>
      </c>
      <c r="N66" s="11" t="s">
        <v>64</v>
      </c>
    </row>
    <row r="67" spans="1:14" ht="12.75">
      <c r="A67" s="21" t="s">
        <v>16</v>
      </c>
      <c r="B67" s="19" t="s">
        <v>561</v>
      </c>
      <c r="C67" s="19" t="s">
        <v>562</v>
      </c>
      <c r="D67" s="19" t="s">
        <v>368</v>
      </c>
      <c r="E67" s="19" t="str">
        <f>"0,6136"</f>
        <v>0,6136</v>
      </c>
      <c r="F67" s="19" t="s">
        <v>20</v>
      </c>
      <c r="G67" s="19" t="s">
        <v>37</v>
      </c>
      <c r="H67" s="22" t="s">
        <v>380</v>
      </c>
      <c r="I67" s="20" t="s">
        <v>380</v>
      </c>
      <c r="J67" s="22" t="s">
        <v>381</v>
      </c>
      <c r="K67" s="21"/>
      <c r="L67" s="21" t="str">
        <f>"192,5"</f>
        <v>192,5</v>
      </c>
      <c r="M67" s="21" t="str">
        <f>"118,1180"</f>
        <v>118,1180</v>
      </c>
      <c r="N67" s="19" t="s">
        <v>563</v>
      </c>
    </row>
    <row r="68" spans="1:14" ht="12.75">
      <c r="A68" s="21" t="s">
        <v>56</v>
      </c>
      <c r="B68" s="19" t="s">
        <v>564</v>
      </c>
      <c r="C68" s="19" t="s">
        <v>565</v>
      </c>
      <c r="D68" s="19" t="s">
        <v>566</v>
      </c>
      <c r="E68" s="19" t="str">
        <f>"0,6086"</f>
        <v>0,6086</v>
      </c>
      <c r="F68" s="19" t="s">
        <v>20</v>
      </c>
      <c r="G68" s="19" t="s">
        <v>37</v>
      </c>
      <c r="H68" s="20" t="s">
        <v>98</v>
      </c>
      <c r="I68" s="20" t="s">
        <v>106</v>
      </c>
      <c r="J68" s="22" t="s">
        <v>131</v>
      </c>
      <c r="K68" s="21"/>
      <c r="L68" s="21" t="str">
        <f>"185,0"</f>
        <v>185,0</v>
      </c>
      <c r="M68" s="21" t="str">
        <f>"112,5910"</f>
        <v>112,5910</v>
      </c>
      <c r="N68" s="19" t="s">
        <v>567</v>
      </c>
    </row>
    <row r="69" spans="1:14" ht="12.75">
      <c r="A69" s="21" t="s">
        <v>65</v>
      </c>
      <c r="B69" s="19" t="s">
        <v>568</v>
      </c>
      <c r="C69" s="19" t="s">
        <v>569</v>
      </c>
      <c r="D69" s="19" t="s">
        <v>415</v>
      </c>
      <c r="E69" s="19" t="str">
        <f>"0,6232"</f>
        <v>0,6232</v>
      </c>
      <c r="F69" s="19" t="s">
        <v>69</v>
      </c>
      <c r="G69" s="19" t="s">
        <v>21</v>
      </c>
      <c r="H69" s="20" t="s">
        <v>116</v>
      </c>
      <c r="I69" s="20" t="s">
        <v>105</v>
      </c>
      <c r="J69" s="20" t="s">
        <v>124</v>
      </c>
      <c r="K69" s="21"/>
      <c r="L69" s="21" t="str">
        <f>"170,0"</f>
        <v>170,0</v>
      </c>
      <c r="M69" s="21" t="str">
        <f>"105,9440"</f>
        <v>105,9440</v>
      </c>
      <c r="N69" s="19" t="s">
        <v>64</v>
      </c>
    </row>
    <row r="70" spans="1:14" ht="12.75">
      <c r="A70" s="21" t="s">
        <v>74</v>
      </c>
      <c r="B70" s="19" t="s">
        <v>570</v>
      </c>
      <c r="C70" s="19" t="s">
        <v>571</v>
      </c>
      <c r="D70" s="19" t="s">
        <v>572</v>
      </c>
      <c r="E70" s="19" t="str">
        <f>"0,6186"</f>
        <v>0,6186</v>
      </c>
      <c r="F70" s="19" t="s">
        <v>20</v>
      </c>
      <c r="G70" s="19" t="s">
        <v>21</v>
      </c>
      <c r="H70" s="20" t="s">
        <v>246</v>
      </c>
      <c r="I70" s="22" t="s">
        <v>416</v>
      </c>
      <c r="J70" s="20" t="s">
        <v>416</v>
      </c>
      <c r="K70" s="21"/>
      <c r="L70" s="21" t="str">
        <f>"167,5"</f>
        <v>167,5</v>
      </c>
      <c r="M70" s="21" t="str">
        <f>"103,6155"</f>
        <v>103,6155</v>
      </c>
      <c r="N70" s="19" t="s">
        <v>31</v>
      </c>
    </row>
    <row r="71" spans="1:14" ht="12.75">
      <c r="A71" s="21" t="s">
        <v>547</v>
      </c>
      <c r="B71" s="19" t="s">
        <v>573</v>
      </c>
      <c r="C71" s="19" t="s">
        <v>574</v>
      </c>
      <c r="D71" s="19" t="s">
        <v>575</v>
      </c>
      <c r="E71" s="19" t="str">
        <f>"0,6172"</f>
        <v>0,6172</v>
      </c>
      <c r="F71" s="19" t="s">
        <v>20</v>
      </c>
      <c r="G71" s="19" t="s">
        <v>37</v>
      </c>
      <c r="H71" s="20" t="s">
        <v>246</v>
      </c>
      <c r="I71" s="22" t="s">
        <v>416</v>
      </c>
      <c r="J71" s="22" t="s">
        <v>416</v>
      </c>
      <c r="K71" s="21"/>
      <c r="L71" s="21" t="str">
        <f>"162,5"</f>
        <v>162,5</v>
      </c>
      <c r="M71" s="21" t="str">
        <f>"100,2950"</f>
        <v>100,2950</v>
      </c>
      <c r="N71" s="19" t="s">
        <v>576</v>
      </c>
    </row>
    <row r="72" spans="1:14" ht="12.75">
      <c r="A72" s="21" t="s">
        <v>550</v>
      </c>
      <c r="B72" s="19" t="s">
        <v>577</v>
      </c>
      <c r="C72" s="19" t="s">
        <v>578</v>
      </c>
      <c r="D72" s="19" t="s">
        <v>579</v>
      </c>
      <c r="E72" s="19" t="str">
        <f>"0,6126"</f>
        <v>0,6126</v>
      </c>
      <c r="F72" s="19" t="s">
        <v>20</v>
      </c>
      <c r="G72" s="19" t="s">
        <v>37</v>
      </c>
      <c r="H72" s="20" t="s">
        <v>155</v>
      </c>
      <c r="I72" s="22" t="s">
        <v>246</v>
      </c>
      <c r="J72" s="22" t="s">
        <v>246</v>
      </c>
      <c r="K72" s="21"/>
      <c r="L72" s="21" t="str">
        <f>"155,0"</f>
        <v>155,0</v>
      </c>
      <c r="M72" s="21" t="str">
        <f>"94,9530"</f>
        <v>94,9530</v>
      </c>
      <c r="N72" s="19" t="s">
        <v>31</v>
      </c>
    </row>
    <row r="73" spans="1:14" ht="12.75">
      <c r="A73" s="21" t="s">
        <v>551</v>
      </c>
      <c r="B73" s="19" t="s">
        <v>580</v>
      </c>
      <c r="C73" s="19" t="s">
        <v>581</v>
      </c>
      <c r="D73" s="19" t="s">
        <v>582</v>
      </c>
      <c r="E73" s="19" t="str">
        <f>"0,6257"</f>
        <v>0,6257</v>
      </c>
      <c r="F73" s="19" t="s">
        <v>20</v>
      </c>
      <c r="G73" s="19" t="s">
        <v>37</v>
      </c>
      <c r="H73" s="20" t="s">
        <v>63</v>
      </c>
      <c r="I73" s="22" t="s">
        <v>104</v>
      </c>
      <c r="J73" s="21"/>
      <c r="K73" s="21"/>
      <c r="L73" s="21" t="str">
        <f>"140,0"</f>
        <v>140,0</v>
      </c>
      <c r="M73" s="21" t="str">
        <f>"87,5980"</f>
        <v>87,5980</v>
      </c>
      <c r="N73" s="19" t="s">
        <v>31</v>
      </c>
    </row>
    <row r="74" spans="1:14" ht="12.75">
      <c r="A74" s="21" t="s">
        <v>555</v>
      </c>
      <c r="B74" s="19" t="s">
        <v>583</v>
      </c>
      <c r="C74" s="19" t="s">
        <v>584</v>
      </c>
      <c r="D74" s="19" t="s">
        <v>585</v>
      </c>
      <c r="E74" s="19" t="str">
        <f>"0,6106"</f>
        <v>0,6106</v>
      </c>
      <c r="F74" s="19" t="s">
        <v>20</v>
      </c>
      <c r="G74" s="19" t="s">
        <v>21</v>
      </c>
      <c r="H74" s="22" t="s">
        <v>53</v>
      </c>
      <c r="I74" s="22" t="s">
        <v>53</v>
      </c>
      <c r="J74" s="20" t="s">
        <v>53</v>
      </c>
      <c r="K74" s="21"/>
      <c r="L74" s="21" t="str">
        <f>"130,0"</f>
        <v>130,0</v>
      </c>
      <c r="M74" s="21" t="str">
        <f>"79,3780"</f>
        <v>79,3780</v>
      </c>
      <c r="N74" s="19" t="s">
        <v>31</v>
      </c>
    </row>
    <row r="75" spans="1:14" ht="12.75">
      <c r="A75" s="17" t="s">
        <v>16</v>
      </c>
      <c r="B75" s="15" t="s">
        <v>586</v>
      </c>
      <c r="C75" s="15" t="s">
        <v>587</v>
      </c>
      <c r="D75" s="15" t="s">
        <v>588</v>
      </c>
      <c r="E75" s="15" t="str">
        <f>"0,6096"</f>
        <v>0,6096</v>
      </c>
      <c r="F75" s="15" t="s">
        <v>20</v>
      </c>
      <c r="G75" s="15" t="s">
        <v>37</v>
      </c>
      <c r="H75" s="16" t="s">
        <v>123</v>
      </c>
      <c r="I75" s="16" t="s">
        <v>123</v>
      </c>
      <c r="J75" s="18" t="s">
        <v>123</v>
      </c>
      <c r="K75" s="17"/>
      <c r="L75" s="17" t="str">
        <f>"160,0"</f>
        <v>160,0</v>
      </c>
      <c r="M75" s="17" t="str">
        <f>"103,3882"</f>
        <v>103,3882</v>
      </c>
      <c r="N75" s="15" t="s">
        <v>589</v>
      </c>
    </row>
    <row r="76" ht="12.75">
      <c r="B76" s="5" t="s">
        <v>32</v>
      </c>
    </row>
    <row r="77" spans="1:13" ht="15">
      <c r="A77" s="45" t="s">
        <v>156</v>
      </c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4" ht="12.75">
      <c r="A78" s="14" t="s">
        <v>16</v>
      </c>
      <c r="B78" s="11" t="s">
        <v>375</v>
      </c>
      <c r="C78" s="11" t="s">
        <v>376</v>
      </c>
      <c r="D78" s="11" t="s">
        <v>377</v>
      </c>
      <c r="E78" s="11" t="str">
        <f>"0,5972"</f>
        <v>0,5972</v>
      </c>
      <c r="F78" s="11" t="s">
        <v>378</v>
      </c>
      <c r="G78" s="11" t="s">
        <v>379</v>
      </c>
      <c r="H78" s="13" t="s">
        <v>380</v>
      </c>
      <c r="I78" s="12" t="s">
        <v>381</v>
      </c>
      <c r="J78" s="12" t="s">
        <v>381</v>
      </c>
      <c r="K78" s="14"/>
      <c r="L78" s="14" t="str">
        <f>"192,5"</f>
        <v>192,5</v>
      </c>
      <c r="M78" s="14" t="str">
        <f>"114,9610"</f>
        <v>114,9610</v>
      </c>
      <c r="N78" s="11" t="s">
        <v>473</v>
      </c>
    </row>
    <row r="79" spans="1:14" ht="12.75">
      <c r="A79" s="21" t="s">
        <v>56</v>
      </c>
      <c r="B79" s="19" t="s">
        <v>157</v>
      </c>
      <c r="C79" s="19" t="s">
        <v>158</v>
      </c>
      <c r="D79" s="19" t="s">
        <v>159</v>
      </c>
      <c r="E79" s="19" t="str">
        <f>"0,5946"</f>
        <v>0,5946</v>
      </c>
      <c r="F79" s="19" t="s">
        <v>20</v>
      </c>
      <c r="G79" s="19" t="s">
        <v>160</v>
      </c>
      <c r="H79" s="20" t="s">
        <v>123</v>
      </c>
      <c r="I79" s="20" t="s">
        <v>162</v>
      </c>
      <c r="J79" s="20" t="s">
        <v>125</v>
      </c>
      <c r="K79" s="21"/>
      <c r="L79" s="21" t="str">
        <f>"180,0"</f>
        <v>180,0</v>
      </c>
      <c r="M79" s="21" t="str">
        <f>"107,0280"</f>
        <v>107,0280</v>
      </c>
      <c r="N79" s="19" t="s">
        <v>31</v>
      </c>
    </row>
    <row r="80" spans="1:14" ht="12.75">
      <c r="A80" s="17" t="s">
        <v>16</v>
      </c>
      <c r="B80" s="15" t="s">
        <v>590</v>
      </c>
      <c r="C80" s="15" t="s">
        <v>591</v>
      </c>
      <c r="D80" s="15" t="s">
        <v>592</v>
      </c>
      <c r="E80" s="15" t="str">
        <f>"0,5902"</f>
        <v>0,5902</v>
      </c>
      <c r="F80" s="15" t="s">
        <v>593</v>
      </c>
      <c r="G80" s="15" t="s">
        <v>233</v>
      </c>
      <c r="H80" s="18" t="s">
        <v>62</v>
      </c>
      <c r="I80" s="18" t="s">
        <v>55</v>
      </c>
      <c r="J80" s="18" t="s">
        <v>245</v>
      </c>
      <c r="K80" s="17"/>
      <c r="L80" s="17" t="str">
        <f>"147,5"</f>
        <v>147,5</v>
      </c>
      <c r="M80" s="17" t="str">
        <f>"96,9787"</f>
        <v>96,9787</v>
      </c>
      <c r="N80" s="15" t="s">
        <v>31</v>
      </c>
    </row>
    <row r="81" ht="12.75">
      <c r="B81" s="5" t="s">
        <v>32</v>
      </c>
    </row>
    <row r="82" ht="12.75">
      <c r="B82" s="5" t="s">
        <v>32</v>
      </c>
    </row>
    <row r="83" ht="12.75">
      <c r="B83" s="5" t="s">
        <v>32</v>
      </c>
    </row>
    <row r="84" spans="2:4" ht="18">
      <c r="B84" s="5" t="s">
        <v>32</v>
      </c>
      <c r="C84" s="24" t="s">
        <v>175</v>
      </c>
      <c r="D84" s="24"/>
    </row>
    <row r="85" ht="12.75">
      <c r="B85" s="5" t="s">
        <v>32</v>
      </c>
    </row>
    <row r="86" spans="2:4" ht="14.25">
      <c r="B86" s="5" t="s">
        <v>32</v>
      </c>
      <c r="C86" s="25"/>
      <c r="D86" s="25" t="s">
        <v>177</v>
      </c>
    </row>
    <row r="87" spans="2:7" ht="15">
      <c r="B87" s="5" t="s">
        <v>32</v>
      </c>
      <c r="C87" s="4" t="s">
        <v>178</v>
      </c>
      <c r="D87" s="4" t="s">
        <v>179</v>
      </c>
      <c r="E87" s="4" t="s">
        <v>180</v>
      </c>
      <c r="F87" s="4" t="s">
        <v>181</v>
      </c>
      <c r="G87" s="4" t="s">
        <v>182</v>
      </c>
    </row>
    <row r="88" spans="2:7" ht="12.75">
      <c r="B88" s="5" t="s">
        <v>32</v>
      </c>
      <c r="C88" s="5" t="s">
        <v>538</v>
      </c>
      <c r="D88" s="5" t="s">
        <v>177</v>
      </c>
      <c r="E88" s="6" t="s">
        <v>41</v>
      </c>
      <c r="F88" s="6" t="s">
        <v>161</v>
      </c>
      <c r="G88" s="6" t="s">
        <v>594</v>
      </c>
    </row>
    <row r="89" spans="2:7" ht="12.75">
      <c r="B89" s="5" t="s">
        <v>32</v>
      </c>
      <c r="C89" s="5" t="s">
        <v>561</v>
      </c>
      <c r="D89" s="5" t="s">
        <v>177</v>
      </c>
      <c r="E89" s="6" t="s">
        <v>43</v>
      </c>
      <c r="F89" s="6" t="s">
        <v>380</v>
      </c>
      <c r="G89" s="6" t="s">
        <v>595</v>
      </c>
    </row>
    <row r="90" spans="2:7" ht="12.75">
      <c r="B90" s="5" t="s">
        <v>32</v>
      </c>
      <c r="C90" s="5" t="s">
        <v>375</v>
      </c>
      <c r="D90" s="5" t="s">
        <v>177</v>
      </c>
      <c r="E90" s="6" t="s">
        <v>48</v>
      </c>
      <c r="F90" s="6" t="s">
        <v>380</v>
      </c>
      <c r="G90" s="6" t="s">
        <v>596</v>
      </c>
    </row>
    <row r="91" ht="9" customHeight="1">
      <c r="B91" s="5" t="s">
        <v>32</v>
      </c>
    </row>
  </sheetData>
  <sheetProtection/>
  <mergeCells count="25">
    <mergeCell ref="N3:N4"/>
    <mergeCell ref="A5:M5"/>
    <mergeCell ref="A8:M8"/>
    <mergeCell ref="A11:M11"/>
    <mergeCell ref="A1:N2"/>
    <mergeCell ref="A3:A4"/>
    <mergeCell ref="C3:C4"/>
    <mergeCell ref="D3:D4"/>
    <mergeCell ref="E3:E4"/>
    <mergeCell ref="F3:F4"/>
    <mergeCell ref="G3:G4"/>
    <mergeCell ref="H3:K3"/>
    <mergeCell ref="A45:M45"/>
    <mergeCell ref="A53:M53"/>
    <mergeCell ref="A65:M65"/>
    <mergeCell ref="A77:M77"/>
    <mergeCell ref="B3:B4"/>
    <mergeCell ref="A15:M15"/>
    <mergeCell ref="A19:M19"/>
    <mergeCell ref="A22:M22"/>
    <mergeCell ref="A26:M26"/>
    <mergeCell ref="A29:M29"/>
    <mergeCell ref="A37:M37"/>
    <mergeCell ref="L3:L4"/>
    <mergeCell ref="M3:M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"/>
  <sheetViews>
    <sheetView zoomScale="73" zoomScaleNormal="73" zoomScalePageLayoutView="0" workbookViewId="0" topLeftCell="A1">
      <selection activeCell="J69" sqref="J69"/>
    </sheetView>
  </sheetViews>
  <sheetFormatPr defaultColWidth="9.125" defaultRowHeight="12.75"/>
  <cols>
    <col min="1" max="1" width="7.375" style="6" bestFit="1" customWidth="1"/>
    <col min="2" max="2" width="26.00390625" style="5" customWidth="1"/>
    <col min="3" max="3" width="32.875" style="5" customWidth="1"/>
    <col min="4" max="4" width="21.375" style="5" bestFit="1" customWidth="1"/>
    <col min="5" max="5" width="10.625" style="5" bestFit="1" customWidth="1"/>
    <col min="6" max="6" width="22.75390625" style="5" bestFit="1" customWidth="1"/>
    <col min="7" max="7" width="34.25390625" style="5" customWidth="1"/>
    <col min="8" max="8" width="6.125" style="6" customWidth="1"/>
    <col min="9" max="9" width="6.75390625" style="6" customWidth="1"/>
    <col min="10" max="10" width="7.125" style="6" customWidth="1"/>
    <col min="11" max="11" width="4.875" style="6" bestFit="1" customWidth="1"/>
    <col min="12" max="12" width="11.25390625" style="6" bestFit="1" customWidth="1"/>
    <col min="13" max="13" width="11.875" style="6" customWidth="1"/>
    <col min="14" max="14" width="31.125" style="5" bestFit="1" customWidth="1"/>
    <col min="15" max="16384" width="9.125" style="3" customWidth="1"/>
  </cols>
  <sheetData>
    <row r="1" spans="1:14" s="2" customFormat="1" ht="28.5" customHeight="1">
      <c r="A1" s="55" t="s">
        <v>597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s="1" customFormat="1" ht="12.75" customHeight="1">
      <c r="A3" s="62" t="s">
        <v>1</v>
      </c>
      <c r="B3" s="49" t="s">
        <v>2</v>
      </c>
      <c r="C3" s="64" t="s">
        <v>3</v>
      </c>
      <c r="D3" s="64" t="s">
        <v>4</v>
      </c>
      <c r="E3" s="47" t="s">
        <v>5</v>
      </c>
      <c r="F3" s="47" t="s">
        <v>6</v>
      </c>
      <c r="G3" s="47" t="s">
        <v>7</v>
      </c>
      <c r="H3" s="47" t="s">
        <v>9</v>
      </c>
      <c r="I3" s="47"/>
      <c r="J3" s="47"/>
      <c r="K3" s="47"/>
      <c r="L3" s="47" t="s">
        <v>439</v>
      </c>
      <c r="M3" s="47" t="s">
        <v>12</v>
      </c>
      <c r="N3" s="51" t="s">
        <v>13</v>
      </c>
    </row>
    <row r="4" spans="1:14" s="1" customFormat="1" ht="21" customHeight="1" thickBot="1">
      <c r="A4" s="63"/>
      <c r="B4" s="50"/>
      <c r="C4" s="48"/>
      <c r="D4" s="48"/>
      <c r="E4" s="48"/>
      <c r="F4" s="48"/>
      <c r="G4" s="48"/>
      <c r="H4" s="44">
        <v>1</v>
      </c>
      <c r="I4" s="44">
        <v>2</v>
      </c>
      <c r="J4" s="44">
        <v>3</v>
      </c>
      <c r="K4" s="44" t="s">
        <v>14</v>
      </c>
      <c r="L4" s="48"/>
      <c r="M4" s="48"/>
      <c r="N4" s="52"/>
    </row>
    <row r="5" spans="1:13" ht="15">
      <c r="A5" s="53" t="s">
        <v>33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4" ht="12.75">
      <c r="A6" s="10" t="s">
        <v>16</v>
      </c>
      <c r="B6" s="7" t="s">
        <v>207</v>
      </c>
      <c r="C6" s="7" t="s">
        <v>208</v>
      </c>
      <c r="D6" s="7" t="s">
        <v>209</v>
      </c>
      <c r="E6" s="7" t="str">
        <f>"1,2560"</f>
        <v>1,2560</v>
      </c>
      <c r="F6" s="7" t="s">
        <v>20</v>
      </c>
      <c r="G6" s="7" t="s">
        <v>37</v>
      </c>
      <c r="H6" s="9" t="s">
        <v>40</v>
      </c>
      <c r="I6" s="9" t="s">
        <v>26</v>
      </c>
      <c r="J6" s="8" t="s">
        <v>27</v>
      </c>
      <c r="K6" s="10"/>
      <c r="L6" s="10" t="str">
        <f>"47,5"</f>
        <v>47,5</v>
      </c>
      <c r="M6" s="10" t="str">
        <f>"59,6600"</f>
        <v>59,6600</v>
      </c>
      <c r="N6" s="7" t="s">
        <v>92</v>
      </c>
    </row>
    <row r="7" ht="12.75">
      <c r="B7" s="5" t="s">
        <v>32</v>
      </c>
    </row>
    <row r="8" spans="1:13" ht="15">
      <c r="A8" s="45" t="s">
        <v>218</v>
      </c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4" ht="12.75">
      <c r="A9" s="10" t="s">
        <v>16</v>
      </c>
      <c r="B9" s="7" t="s">
        <v>598</v>
      </c>
      <c r="C9" s="7" t="s">
        <v>599</v>
      </c>
      <c r="D9" s="7" t="s">
        <v>476</v>
      </c>
      <c r="E9" s="7" t="str">
        <f>"1,1766"</f>
        <v>1,1766</v>
      </c>
      <c r="F9" s="7" t="s">
        <v>20</v>
      </c>
      <c r="G9" s="7" t="s">
        <v>37</v>
      </c>
      <c r="H9" s="9" t="s">
        <v>111</v>
      </c>
      <c r="I9" s="9" t="s">
        <v>40</v>
      </c>
      <c r="J9" s="8" t="s">
        <v>25</v>
      </c>
      <c r="K9" s="10"/>
      <c r="L9" s="10" t="str">
        <f>"42,5"</f>
        <v>42,5</v>
      </c>
      <c r="M9" s="10" t="str">
        <f>"50,0055"</f>
        <v>50,0055</v>
      </c>
      <c r="N9" s="7" t="s">
        <v>31</v>
      </c>
    </row>
    <row r="10" ht="12.75">
      <c r="B10" s="5" t="s">
        <v>32</v>
      </c>
    </row>
    <row r="11" spans="1:13" ht="15">
      <c r="A11" s="45" t="s">
        <v>80</v>
      </c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 ht="12.75">
      <c r="A12" s="10" t="s">
        <v>16</v>
      </c>
      <c r="B12" s="7" t="s">
        <v>600</v>
      </c>
      <c r="C12" s="7" t="s">
        <v>601</v>
      </c>
      <c r="D12" s="7" t="s">
        <v>480</v>
      </c>
      <c r="E12" s="7" t="str">
        <f>"1,1192"</f>
        <v>1,1192</v>
      </c>
      <c r="F12" s="7" t="s">
        <v>20</v>
      </c>
      <c r="G12" s="7" t="s">
        <v>129</v>
      </c>
      <c r="H12" s="9" t="s">
        <v>213</v>
      </c>
      <c r="I12" s="8" t="s">
        <v>42</v>
      </c>
      <c r="J12" s="9" t="s">
        <v>42</v>
      </c>
      <c r="K12" s="10"/>
      <c r="L12" s="10" t="str">
        <f>"95,0"</f>
        <v>95,0</v>
      </c>
      <c r="M12" s="10" t="str">
        <f>"106,3240"</f>
        <v>106,3240</v>
      </c>
      <c r="N12" s="7" t="s">
        <v>408</v>
      </c>
    </row>
    <row r="13" ht="12.75">
      <c r="B13" s="5" t="s">
        <v>32</v>
      </c>
    </row>
    <row r="14" spans="1:13" ht="15">
      <c r="A14" s="45" t="s">
        <v>93</v>
      </c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4" ht="12.75">
      <c r="A15" s="14" t="s">
        <v>16</v>
      </c>
      <c r="B15" s="11" t="s">
        <v>602</v>
      </c>
      <c r="C15" s="11" t="s">
        <v>603</v>
      </c>
      <c r="D15" s="11" t="s">
        <v>503</v>
      </c>
      <c r="E15" s="11" t="str">
        <f>"0,7179"</f>
        <v>0,7179</v>
      </c>
      <c r="F15" s="11" t="s">
        <v>20</v>
      </c>
      <c r="G15" s="11" t="s">
        <v>37</v>
      </c>
      <c r="H15" s="13" t="s">
        <v>62</v>
      </c>
      <c r="I15" s="12" t="s">
        <v>88</v>
      </c>
      <c r="J15" s="12" t="s">
        <v>155</v>
      </c>
      <c r="K15" s="14"/>
      <c r="L15" s="14" t="str">
        <f>"135,0"</f>
        <v>135,0</v>
      </c>
      <c r="M15" s="14" t="str">
        <f>"96,9165"</f>
        <v>96,9165</v>
      </c>
      <c r="N15" s="11" t="s">
        <v>31</v>
      </c>
    </row>
    <row r="16" spans="1:14" ht="12.75">
      <c r="A16" s="21" t="s">
        <v>139</v>
      </c>
      <c r="B16" s="19" t="s">
        <v>604</v>
      </c>
      <c r="C16" s="19" t="s">
        <v>605</v>
      </c>
      <c r="D16" s="19" t="s">
        <v>606</v>
      </c>
      <c r="E16" s="19" t="str">
        <f>"0,7293"</f>
        <v>0,7293</v>
      </c>
      <c r="F16" s="19" t="s">
        <v>20</v>
      </c>
      <c r="G16" s="19" t="s">
        <v>37</v>
      </c>
      <c r="H16" s="22" t="s">
        <v>54</v>
      </c>
      <c r="I16" s="22" t="s">
        <v>54</v>
      </c>
      <c r="J16" s="22" t="s">
        <v>54</v>
      </c>
      <c r="K16" s="21"/>
      <c r="L16" s="21" t="s">
        <v>143</v>
      </c>
      <c r="M16" s="21" t="str">
        <f>"0,0000"</f>
        <v>0,0000</v>
      </c>
      <c r="N16" s="19" t="s">
        <v>541</v>
      </c>
    </row>
    <row r="17" spans="1:14" ht="12.75">
      <c r="A17" s="17" t="s">
        <v>16</v>
      </c>
      <c r="B17" s="15" t="s">
        <v>607</v>
      </c>
      <c r="C17" s="15" t="s">
        <v>608</v>
      </c>
      <c r="D17" s="15" t="s">
        <v>609</v>
      </c>
      <c r="E17" s="15" t="str">
        <f>"0,7228"</f>
        <v>0,7228</v>
      </c>
      <c r="F17" s="15" t="s">
        <v>20</v>
      </c>
      <c r="G17" s="15" t="s">
        <v>504</v>
      </c>
      <c r="H17" s="18" t="s">
        <v>162</v>
      </c>
      <c r="I17" s="16" t="s">
        <v>281</v>
      </c>
      <c r="J17" s="16" t="s">
        <v>281</v>
      </c>
      <c r="K17" s="17"/>
      <c r="L17" s="17" t="str">
        <f>"172,5"</f>
        <v>172,5</v>
      </c>
      <c r="M17" s="17" t="str">
        <f>"124,6830"</f>
        <v>124,6830</v>
      </c>
      <c r="N17" s="15" t="s">
        <v>500</v>
      </c>
    </row>
    <row r="18" ht="12.75">
      <c r="B18" s="5" t="s">
        <v>32</v>
      </c>
    </row>
    <row r="19" spans="1:13" ht="15">
      <c r="A19" s="45" t="s">
        <v>107</v>
      </c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1:14" ht="12.75">
      <c r="A20" s="14" t="s">
        <v>16</v>
      </c>
      <c r="B20" s="11" t="s">
        <v>610</v>
      </c>
      <c r="C20" s="11" t="s">
        <v>611</v>
      </c>
      <c r="D20" s="11" t="s">
        <v>612</v>
      </c>
      <c r="E20" s="11" t="str">
        <f>"0,6969"</f>
        <v>0,6969</v>
      </c>
      <c r="F20" s="11" t="s">
        <v>20</v>
      </c>
      <c r="G20" s="11" t="s">
        <v>37</v>
      </c>
      <c r="H20" s="12" t="s">
        <v>48</v>
      </c>
      <c r="I20" s="13" t="s">
        <v>48</v>
      </c>
      <c r="J20" s="13" t="s">
        <v>30</v>
      </c>
      <c r="K20" s="14"/>
      <c r="L20" s="14" t="str">
        <f>"120,0"</f>
        <v>120,0</v>
      </c>
      <c r="M20" s="14" t="str">
        <f>"83,6280"</f>
        <v>83,6280</v>
      </c>
      <c r="N20" s="11" t="s">
        <v>92</v>
      </c>
    </row>
    <row r="21" spans="1:14" ht="12.75">
      <c r="A21" s="21" t="s">
        <v>16</v>
      </c>
      <c r="B21" s="19" t="s">
        <v>613</v>
      </c>
      <c r="C21" s="19" t="s">
        <v>614</v>
      </c>
      <c r="D21" s="19" t="s">
        <v>615</v>
      </c>
      <c r="E21" s="19" t="str">
        <f>"0,6800"</f>
        <v>0,6800</v>
      </c>
      <c r="F21" s="19" t="s">
        <v>20</v>
      </c>
      <c r="G21" s="19" t="s">
        <v>616</v>
      </c>
      <c r="H21" s="20" t="s">
        <v>132</v>
      </c>
      <c r="I21" s="20" t="s">
        <v>123</v>
      </c>
      <c r="J21" s="20" t="s">
        <v>246</v>
      </c>
      <c r="K21" s="21"/>
      <c r="L21" s="21" t="str">
        <f>"162,5"</f>
        <v>162,5</v>
      </c>
      <c r="M21" s="21" t="str">
        <f>"110,5000"</f>
        <v>110,5000</v>
      </c>
      <c r="N21" s="19" t="s">
        <v>31</v>
      </c>
    </row>
    <row r="22" spans="1:14" ht="12.75">
      <c r="A22" s="17" t="s">
        <v>139</v>
      </c>
      <c r="B22" s="15" t="s">
        <v>617</v>
      </c>
      <c r="C22" s="15" t="s">
        <v>618</v>
      </c>
      <c r="D22" s="15" t="s">
        <v>619</v>
      </c>
      <c r="E22" s="15" t="str">
        <f>"0,6704"</f>
        <v>0,6704</v>
      </c>
      <c r="F22" s="15" t="s">
        <v>20</v>
      </c>
      <c r="G22" s="15" t="s">
        <v>379</v>
      </c>
      <c r="H22" s="16" t="s">
        <v>88</v>
      </c>
      <c r="I22" s="16" t="s">
        <v>88</v>
      </c>
      <c r="J22" s="16" t="s">
        <v>88</v>
      </c>
      <c r="K22" s="17"/>
      <c r="L22" s="17" t="s">
        <v>143</v>
      </c>
      <c r="M22" s="17" t="str">
        <f>"0,0000"</f>
        <v>0,0000</v>
      </c>
      <c r="N22" s="15" t="s">
        <v>620</v>
      </c>
    </row>
    <row r="23" ht="12.75">
      <c r="B23" s="5" t="s">
        <v>32</v>
      </c>
    </row>
    <row r="24" spans="1:13" ht="15">
      <c r="A24" s="45" t="s">
        <v>119</v>
      </c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  <row r="25" spans="1:14" ht="12.75">
      <c r="A25" s="14" t="s">
        <v>16</v>
      </c>
      <c r="B25" s="11" t="s">
        <v>538</v>
      </c>
      <c r="C25" s="11" t="s">
        <v>539</v>
      </c>
      <c r="D25" s="11" t="s">
        <v>540</v>
      </c>
      <c r="E25" s="11" t="str">
        <f>"0,6395"</f>
        <v>0,6395</v>
      </c>
      <c r="F25" s="11" t="s">
        <v>20</v>
      </c>
      <c r="G25" s="11" t="s">
        <v>37</v>
      </c>
      <c r="H25" s="13" t="s">
        <v>161</v>
      </c>
      <c r="I25" s="14"/>
      <c r="J25" s="14"/>
      <c r="K25" s="14"/>
      <c r="L25" s="14" t="str">
        <f>"230,0"</f>
        <v>230,0</v>
      </c>
      <c r="M25" s="14" t="str">
        <f>"147,0850"</f>
        <v>147,0850</v>
      </c>
      <c r="N25" s="11" t="s">
        <v>541</v>
      </c>
    </row>
    <row r="26" spans="1:14" ht="12.75">
      <c r="A26" s="21" t="s">
        <v>56</v>
      </c>
      <c r="B26" s="19" t="s">
        <v>621</v>
      </c>
      <c r="C26" s="19" t="s">
        <v>622</v>
      </c>
      <c r="D26" s="19" t="s">
        <v>623</v>
      </c>
      <c r="E26" s="19" t="str">
        <f>"0,6388"</f>
        <v>0,6388</v>
      </c>
      <c r="F26" s="19" t="s">
        <v>20</v>
      </c>
      <c r="G26" s="19" t="s">
        <v>37</v>
      </c>
      <c r="H26" s="20" t="s">
        <v>131</v>
      </c>
      <c r="I26" s="20" t="s">
        <v>624</v>
      </c>
      <c r="J26" s="20" t="s">
        <v>90</v>
      </c>
      <c r="K26" s="21"/>
      <c r="L26" s="21" t="str">
        <f>"205,0"</f>
        <v>205,0</v>
      </c>
      <c r="M26" s="21" t="str">
        <f>"130,9540"</f>
        <v>130,9540</v>
      </c>
      <c r="N26" s="19" t="s">
        <v>31</v>
      </c>
    </row>
    <row r="27" spans="1:14" ht="12.75">
      <c r="A27" s="21" t="s">
        <v>65</v>
      </c>
      <c r="B27" s="19" t="s">
        <v>625</v>
      </c>
      <c r="C27" s="19" t="s">
        <v>626</v>
      </c>
      <c r="D27" s="19" t="s">
        <v>627</v>
      </c>
      <c r="E27" s="19" t="str">
        <f>"0,6479"</f>
        <v>0,6479</v>
      </c>
      <c r="F27" s="19" t="s">
        <v>20</v>
      </c>
      <c r="G27" s="19" t="s">
        <v>233</v>
      </c>
      <c r="H27" s="20" t="s">
        <v>88</v>
      </c>
      <c r="I27" s="20" t="s">
        <v>132</v>
      </c>
      <c r="J27" s="22" t="s">
        <v>155</v>
      </c>
      <c r="K27" s="21"/>
      <c r="L27" s="21" t="str">
        <f>"152,5"</f>
        <v>152,5</v>
      </c>
      <c r="M27" s="21" t="str">
        <f>"98,8047"</f>
        <v>98,8047</v>
      </c>
      <c r="N27" s="19" t="s">
        <v>31</v>
      </c>
    </row>
    <row r="28" spans="1:14" ht="12.75">
      <c r="A28" s="21" t="s">
        <v>74</v>
      </c>
      <c r="B28" s="19" t="s">
        <v>628</v>
      </c>
      <c r="C28" s="19" t="s">
        <v>629</v>
      </c>
      <c r="D28" s="19" t="s">
        <v>630</v>
      </c>
      <c r="E28" s="19" t="str">
        <f>"0,6471"</f>
        <v>0,6471</v>
      </c>
      <c r="F28" s="19" t="s">
        <v>20</v>
      </c>
      <c r="G28" s="19" t="s">
        <v>129</v>
      </c>
      <c r="H28" s="20" t="s">
        <v>63</v>
      </c>
      <c r="I28" s="22" t="s">
        <v>132</v>
      </c>
      <c r="J28" s="22" t="s">
        <v>132</v>
      </c>
      <c r="K28" s="21"/>
      <c r="L28" s="21" t="str">
        <f>"140,0"</f>
        <v>140,0</v>
      </c>
      <c r="M28" s="21" t="str">
        <f>"90,5940"</f>
        <v>90,5940</v>
      </c>
      <c r="N28" s="19" t="s">
        <v>31</v>
      </c>
    </row>
    <row r="29" spans="1:14" ht="12.75">
      <c r="A29" s="21" t="s">
        <v>16</v>
      </c>
      <c r="B29" s="19" t="s">
        <v>631</v>
      </c>
      <c r="C29" s="19" t="s">
        <v>632</v>
      </c>
      <c r="D29" s="19" t="s">
        <v>633</v>
      </c>
      <c r="E29" s="19" t="str">
        <f>"0,6511"</f>
        <v>0,6511</v>
      </c>
      <c r="F29" s="19" t="s">
        <v>20</v>
      </c>
      <c r="G29" s="19" t="s">
        <v>37</v>
      </c>
      <c r="H29" s="20" t="s">
        <v>62</v>
      </c>
      <c r="I29" s="20" t="s">
        <v>55</v>
      </c>
      <c r="J29" s="21"/>
      <c r="K29" s="21"/>
      <c r="L29" s="21" t="str">
        <f>"142,5"</f>
        <v>142,5</v>
      </c>
      <c r="M29" s="21" t="str">
        <f>"101,6888"</f>
        <v>101,6888</v>
      </c>
      <c r="N29" s="19" t="s">
        <v>31</v>
      </c>
    </row>
    <row r="30" spans="1:14" ht="12.75">
      <c r="A30" s="17" t="s">
        <v>16</v>
      </c>
      <c r="B30" s="15" t="s">
        <v>634</v>
      </c>
      <c r="C30" s="15" t="s">
        <v>635</v>
      </c>
      <c r="D30" s="15" t="s">
        <v>636</v>
      </c>
      <c r="E30" s="15" t="str">
        <f>"0,6424"</f>
        <v>0,6424</v>
      </c>
      <c r="F30" s="15" t="s">
        <v>20</v>
      </c>
      <c r="G30" s="15" t="s">
        <v>37</v>
      </c>
      <c r="H30" s="18" t="s">
        <v>53</v>
      </c>
      <c r="I30" s="16" t="s">
        <v>62</v>
      </c>
      <c r="J30" s="16" t="s">
        <v>62</v>
      </c>
      <c r="K30" s="17"/>
      <c r="L30" s="17" t="str">
        <f>"130,0"</f>
        <v>130,0</v>
      </c>
      <c r="M30" s="17" t="str">
        <f>"99,1287"</f>
        <v>99,1287</v>
      </c>
      <c r="N30" s="15" t="s">
        <v>31</v>
      </c>
    </row>
    <row r="31" ht="12.75">
      <c r="B31" s="5" t="s">
        <v>32</v>
      </c>
    </row>
    <row r="32" spans="1:13" ht="15">
      <c r="A32" s="45" t="s">
        <v>145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1:14" ht="12.75">
      <c r="A33" s="14" t="s">
        <v>16</v>
      </c>
      <c r="B33" s="11" t="s">
        <v>637</v>
      </c>
      <c r="C33" s="11" t="s">
        <v>638</v>
      </c>
      <c r="D33" s="11" t="s">
        <v>639</v>
      </c>
      <c r="E33" s="11" t="str">
        <f>"0,6244"</f>
        <v>0,6244</v>
      </c>
      <c r="F33" s="11" t="s">
        <v>20</v>
      </c>
      <c r="G33" s="11" t="s">
        <v>37</v>
      </c>
      <c r="H33" s="13" t="s">
        <v>106</v>
      </c>
      <c r="I33" s="13" t="s">
        <v>130</v>
      </c>
      <c r="J33" s="14"/>
      <c r="K33" s="14"/>
      <c r="L33" s="14" t="str">
        <f>"190,0"</f>
        <v>190,0</v>
      </c>
      <c r="M33" s="14" t="str">
        <f>"118,6360"</f>
        <v>118,6360</v>
      </c>
      <c r="N33" s="11" t="s">
        <v>31</v>
      </c>
    </row>
    <row r="34" spans="1:14" ht="12.75">
      <c r="A34" s="21" t="s">
        <v>56</v>
      </c>
      <c r="B34" s="19" t="s">
        <v>640</v>
      </c>
      <c r="C34" s="19" t="s">
        <v>641</v>
      </c>
      <c r="D34" s="19" t="s">
        <v>642</v>
      </c>
      <c r="E34" s="19" t="str">
        <f>"0,6229"</f>
        <v>0,6229</v>
      </c>
      <c r="F34" s="19" t="s">
        <v>20</v>
      </c>
      <c r="G34" s="19" t="s">
        <v>37</v>
      </c>
      <c r="H34" s="20" t="s">
        <v>281</v>
      </c>
      <c r="I34" s="20" t="s">
        <v>106</v>
      </c>
      <c r="J34" s="22" t="s">
        <v>380</v>
      </c>
      <c r="K34" s="21"/>
      <c r="L34" s="21" t="str">
        <f>"185,0"</f>
        <v>185,0</v>
      </c>
      <c r="M34" s="21" t="str">
        <f>"115,2365"</f>
        <v>115,2365</v>
      </c>
      <c r="N34" s="19" t="s">
        <v>31</v>
      </c>
    </row>
    <row r="35" spans="1:14" ht="12.75">
      <c r="A35" s="21" t="s">
        <v>65</v>
      </c>
      <c r="B35" s="19" t="s">
        <v>643</v>
      </c>
      <c r="C35" s="19" t="s">
        <v>644</v>
      </c>
      <c r="D35" s="19" t="s">
        <v>566</v>
      </c>
      <c r="E35" s="19" t="str">
        <f>"0,6086"</f>
        <v>0,6086</v>
      </c>
      <c r="F35" s="19" t="s">
        <v>20</v>
      </c>
      <c r="G35" s="19" t="s">
        <v>37</v>
      </c>
      <c r="H35" s="20" t="s">
        <v>125</v>
      </c>
      <c r="I35" s="22" t="s">
        <v>106</v>
      </c>
      <c r="J35" s="22" t="s">
        <v>106</v>
      </c>
      <c r="K35" s="21"/>
      <c r="L35" s="21" t="str">
        <f>"180,0"</f>
        <v>180,0</v>
      </c>
      <c r="M35" s="21" t="str">
        <f>"109,5480"</f>
        <v>109,5480</v>
      </c>
      <c r="N35" s="19" t="s">
        <v>645</v>
      </c>
    </row>
    <row r="36" spans="1:14" ht="12.75">
      <c r="A36" s="21" t="s">
        <v>74</v>
      </c>
      <c r="B36" s="19" t="s">
        <v>646</v>
      </c>
      <c r="C36" s="19" t="s">
        <v>647</v>
      </c>
      <c r="D36" s="19" t="s">
        <v>648</v>
      </c>
      <c r="E36" s="19" t="str">
        <f>"0,6328"</f>
        <v>0,6328</v>
      </c>
      <c r="F36" s="19" t="s">
        <v>20</v>
      </c>
      <c r="G36" s="19" t="s">
        <v>129</v>
      </c>
      <c r="H36" s="20" t="s">
        <v>53</v>
      </c>
      <c r="I36" s="20" t="s">
        <v>62</v>
      </c>
      <c r="J36" s="20" t="s">
        <v>88</v>
      </c>
      <c r="K36" s="21"/>
      <c r="L36" s="21" t="str">
        <f>"145,0"</f>
        <v>145,0</v>
      </c>
      <c r="M36" s="21" t="str">
        <f>"91,7560"</f>
        <v>91,7560</v>
      </c>
      <c r="N36" s="19" t="s">
        <v>649</v>
      </c>
    </row>
    <row r="37" spans="1:14" ht="12.75">
      <c r="A37" s="21" t="s">
        <v>139</v>
      </c>
      <c r="B37" s="19" t="s">
        <v>650</v>
      </c>
      <c r="C37" s="19" t="s">
        <v>651</v>
      </c>
      <c r="D37" s="19" t="s">
        <v>652</v>
      </c>
      <c r="E37" s="19" t="str">
        <f>"0,6161"</f>
        <v>0,6161</v>
      </c>
      <c r="F37" s="19" t="s">
        <v>20</v>
      </c>
      <c r="G37" s="19" t="s">
        <v>37</v>
      </c>
      <c r="H37" s="22" t="s">
        <v>118</v>
      </c>
      <c r="I37" s="22" t="s">
        <v>100</v>
      </c>
      <c r="J37" s="22" t="s">
        <v>100</v>
      </c>
      <c r="K37" s="21"/>
      <c r="L37" s="21" t="s">
        <v>143</v>
      </c>
      <c r="M37" s="21" t="str">
        <f>"0,0000"</f>
        <v>0,0000</v>
      </c>
      <c r="N37" s="19" t="s">
        <v>653</v>
      </c>
    </row>
    <row r="38" spans="1:14" ht="12.75">
      <c r="A38" s="17" t="s">
        <v>16</v>
      </c>
      <c r="B38" s="15" t="s">
        <v>654</v>
      </c>
      <c r="C38" s="15" t="s">
        <v>655</v>
      </c>
      <c r="D38" s="15" t="s">
        <v>656</v>
      </c>
      <c r="E38" s="15" t="str">
        <f>"0,6238"</f>
        <v>0,6238</v>
      </c>
      <c r="F38" s="15" t="s">
        <v>20</v>
      </c>
      <c r="G38" s="15" t="s">
        <v>129</v>
      </c>
      <c r="H38" s="18" t="s">
        <v>123</v>
      </c>
      <c r="I38" s="18" t="s">
        <v>124</v>
      </c>
      <c r="J38" s="17"/>
      <c r="K38" s="17"/>
      <c r="L38" s="17" t="str">
        <f>"170,0"</f>
        <v>170,0</v>
      </c>
      <c r="M38" s="17" t="str">
        <f>"118,1352"</f>
        <v>118,1352</v>
      </c>
      <c r="N38" s="15" t="s">
        <v>567</v>
      </c>
    </row>
    <row r="39" ht="12.75">
      <c r="B39" s="5" t="s">
        <v>32</v>
      </c>
    </row>
    <row r="40" spans="1:13" ht="15">
      <c r="A40" s="45" t="s">
        <v>156</v>
      </c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4" ht="12.75">
      <c r="A41" s="14" t="s">
        <v>16</v>
      </c>
      <c r="B41" s="11" t="s">
        <v>657</v>
      </c>
      <c r="C41" s="11" t="s">
        <v>658</v>
      </c>
      <c r="D41" s="11" t="s">
        <v>659</v>
      </c>
      <c r="E41" s="11" t="str">
        <f>"0,5978"</f>
        <v>0,5978</v>
      </c>
      <c r="F41" s="11" t="s">
        <v>20</v>
      </c>
      <c r="G41" s="11" t="s">
        <v>129</v>
      </c>
      <c r="H41" s="13" t="s">
        <v>124</v>
      </c>
      <c r="I41" s="12" t="s">
        <v>125</v>
      </c>
      <c r="J41" s="13" t="s">
        <v>125</v>
      </c>
      <c r="K41" s="14"/>
      <c r="L41" s="14" t="str">
        <f>"180,0"</f>
        <v>180,0</v>
      </c>
      <c r="M41" s="14" t="str">
        <f>"107,6040"</f>
        <v>107,6040</v>
      </c>
      <c r="N41" s="11" t="s">
        <v>31</v>
      </c>
    </row>
    <row r="42" spans="1:14" ht="12.75">
      <c r="A42" s="21" t="s">
        <v>16</v>
      </c>
      <c r="B42" s="19" t="s">
        <v>660</v>
      </c>
      <c r="C42" s="19" t="s">
        <v>661</v>
      </c>
      <c r="D42" s="19" t="s">
        <v>662</v>
      </c>
      <c r="E42" s="19" t="str">
        <f>"0,5919"</f>
        <v>0,5919</v>
      </c>
      <c r="F42" s="19" t="s">
        <v>20</v>
      </c>
      <c r="G42" s="19" t="s">
        <v>37</v>
      </c>
      <c r="H42" s="20" t="s">
        <v>98</v>
      </c>
      <c r="I42" s="20" t="s">
        <v>106</v>
      </c>
      <c r="J42" s="22" t="s">
        <v>380</v>
      </c>
      <c r="K42" s="21"/>
      <c r="L42" s="21" t="str">
        <f>"185,0"</f>
        <v>185,0</v>
      </c>
      <c r="M42" s="21" t="str">
        <f>"109,5015"</f>
        <v>109,5015</v>
      </c>
      <c r="N42" s="19" t="s">
        <v>663</v>
      </c>
    </row>
    <row r="43" spans="1:14" ht="12.75">
      <c r="A43" s="21" t="s">
        <v>16</v>
      </c>
      <c r="B43" s="19" t="s">
        <v>664</v>
      </c>
      <c r="C43" s="19" t="s">
        <v>665</v>
      </c>
      <c r="D43" s="19" t="s">
        <v>666</v>
      </c>
      <c r="E43" s="19" t="str">
        <f>"0,5909"</f>
        <v>0,5909</v>
      </c>
      <c r="F43" s="19" t="s">
        <v>20</v>
      </c>
      <c r="G43" s="19" t="s">
        <v>37</v>
      </c>
      <c r="H43" s="20" t="s">
        <v>131</v>
      </c>
      <c r="I43" s="22" t="s">
        <v>118</v>
      </c>
      <c r="J43" s="20" t="s">
        <v>118</v>
      </c>
      <c r="K43" s="21"/>
      <c r="L43" s="21" t="str">
        <f>"200,0"</f>
        <v>200,0</v>
      </c>
      <c r="M43" s="21" t="str">
        <f>"119,8345"</f>
        <v>119,8345</v>
      </c>
      <c r="N43" s="19" t="s">
        <v>31</v>
      </c>
    </row>
    <row r="44" spans="1:14" ht="12.75">
      <c r="A44" s="21" t="s">
        <v>16</v>
      </c>
      <c r="B44" s="19" t="s">
        <v>667</v>
      </c>
      <c r="C44" s="19" t="s">
        <v>668</v>
      </c>
      <c r="D44" s="19" t="s">
        <v>669</v>
      </c>
      <c r="E44" s="19" t="str">
        <f>"0,5952"</f>
        <v>0,5952</v>
      </c>
      <c r="F44" s="19" t="s">
        <v>20</v>
      </c>
      <c r="G44" s="19" t="s">
        <v>37</v>
      </c>
      <c r="H44" s="22" t="s">
        <v>118</v>
      </c>
      <c r="I44" s="20" t="s">
        <v>118</v>
      </c>
      <c r="J44" s="22" t="s">
        <v>90</v>
      </c>
      <c r="K44" s="21"/>
      <c r="L44" s="21" t="str">
        <f>"200,0"</f>
        <v>200,0</v>
      </c>
      <c r="M44" s="21" t="str">
        <f>"139,0387"</f>
        <v>139,0387</v>
      </c>
      <c r="N44" s="19" t="s">
        <v>567</v>
      </c>
    </row>
    <row r="45" spans="1:14" ht="12.75">
      <c r="A45" s="17" t="s">
        <v>56</v>
      </c>
      <c r="B45" s="15" t="s">
        <v>670</v>
      </c>
      <c r="C45" s="15" t="s">
        <v>671</v>
      </c>
      <c r="D45" s="15" t="s">
        <v>672</v>
      </c>
      <c r="E45" s="15" t="str">
        <f>"0,5982"</f>
        <v>0,5982</v>
      </c>
      <c r="F45" s="15" t="s">
        <v>20</v>
      </c>
      <c r="G45" s="15" t="s">
        <v>129</v>
      </c>
      <c r="H45" s="16" t="s">
        <v>155</v>
      </c>
      <c r="I45" s="18" t="s">
        <v>155</v>
      </c>
      <c r="J45" s="18" t="s">
        <v>105</v>
      </c>
      <c r="K45" s="17"/>
      <c r="L45" s="17" t="str">
        <f>"165,0"</f>
        <v>165,0</v>
      </c>
      <c r="M45" s="17" t="str">
        <f>"128,0178"</f>
        <v>128,0178</v>
      </c>
      <c r="N45" s="15" t="s">
        <v>134</v>
      </c>
    </row>
    <row r="46" ht="12.75">
      <c r="B46" s="5" t="s">
        <v>32</v>
      </c>
    </row>
    <row r="47" spans="1:13" ht="15">
      <c r="A47" s="45" t="s">
        <v>169</v>
      </c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4" ht="12.75">
      <c r="A48" s="14" t="s">
        <v>16</v>
      </c>
      <c r="B48" s="11" t="s">
        <v>673</v>
      </c>
      <c r="C48" s="11" t="s">
        <v>674</v>
      </c>
      <c r="D48" s="11" t="s">
        <v>675</v>
      </c>
      <c r="E48" s="11" t="str">
        <f>"0,5828"</f>
        <v>0,5828</v>
      </c>
      <c r="F48" s="11" t="s">
        <v>20</v>
      </c>
      <c r="G48" s="11" t="s">
        <v>129</v>
      </c>
      <c r="H48" s="13" t="s">
        <v>123</v>
      </c>
      <c r="I48" s="12" t="s">
        <v>105</v>
      </c>
      <c r="J48" s="13" t="s">
        <v>105</v>
      </c>
      <c r="K48" s="14"/>
      <c r="L48" s="14" t="str">
        <f>"165,0"</f>
        <v>165,0</v>
      </c>
      <c r="M48" s="14" t="str">
        <f>"96,1620"</f>
        <v>96,1620</v>
      </c>
      <c r="N48" s="11" t="s">
        <v>31</v>
      </c>
    </row>
    <row r="49" spans="1:14" ht="12.75">
      <c r="A49" s="21" t="s">
        <v>16</v>
      </c>
      <c r="B49" s="19" t="s">
        <v>676</v>
      </c>
      <c r="C49" s="19" t="s">
        <v>677</v>
      </c>
      <c r="D49" s="19" t="s">
        <v>678</v>
      </c>
      <c r="E49" s="19" t="str">
        <f>"0,5863"</f>
        <v>0,5863</v>
      </c>
      <c r="F49" s="19" t="s">
        <v>20</v>
      </c>
      <c r="G49" s="19" t="s">
        <v>129</v>
      </c>
      <c r="H49" s="20" t="s">
        <v>173</v>
      </c>
      <c r="I49" s="20" t="s">
        <v>321</v>
      </c>
      <c r="J49" s="22" t="s">
        <v>164</v>
      </c>
      <c r="K49" s="21"/>
      <c r="L49" s="21" t="str">
        <f>"250,0"</f>
        <v>250,0</v>
      </c>
      <c r="M49" s="21" t="str">
        <f>"146,5750"</f>
        <v>146,5750</v>
      </c>
      <c r="N49" s="19" t="s">
        <v>31</v>
      </c>
    </row>
    <row r="50" spans="1:14" ht="12.75">
      <c r="A50" s="21" t="s">
        <v>139</v>
      </c>
      <c r="B50" s="19" t="s">
        <v>679</v>
      </c>
      <c r="C50" s="19" t="s">
        <v>680</v>
      </c>
      <c r="D50" s="19" t="s">
        <v>681</v>
      </c>
      <c r="E50" s="19" t="str">
        <f>"0,5861"</f>
        <v>0,5861</v>
      </c>
      <c r="F50" s="19" t="s">
        <v>20</v>
      </c>
      <c r="G50" s="19" t="s">
        <v>21</v>
      </c>
      <c r="H50" s="22" t="s">
        <v>123</v>
      </c>
      <c r="I50" s="22" t="s">
        <v>123</v>
      </c>
      <c r="J50" s="22" t="s">
        <v>123</v>
      </c>
      <c r="K50" s="21"/>
      <c r="L50" s="21" t="s">
        <v>143</v>
      </c>
      <c r="M50" s="21" t="str">
        <f>"0,0000"</f>
        <v>0,0000</v>
      </c>
      <c r="N50" s="19" t="s">
        <v>31</v>
      </c>
    </row>
    <row r="51" spans="1:14" ht="12.75">
      <c r="A51" s="17" t="s">
        <v>16</v>
      </c>
      <c r="B51" s="15" t="s">
        <v>682</v>
      </c>
      <c r="C51" s="15" t="s">
        <v>683</v>
      </c>
      <c r="D51" s="15" t="s">
        <v>684</v>
      </c>
      <c r="E51" s="15" t="str">
        <f>"0,5755"</f>
        <v>0,5755</v>
      </c>
      <c r="F51" s="15" t="s">
        <v>20</v>
      </c>
      <c r="G51" s="15" t="s">
        <v>21</v>
      </c>
      <c r="H51" s="18" t="s">
        <v>281</v>
      </c>
      <c r="I51" s="18" t="s">
        <v>624</v>
      </c>
      <c r="J51" s="18" t="s">
        <v>149</v>
      </c>
      <c r="K51" s="17"/>
      <c r="L51" s="17" t="str">
        <f>"210,0"</f>
        <v>210,0</v>
      </c>
      <c r="M51" s="17" t="str">
        <f>"130,2817"</f>
        <v>130,2817</v>
      </c>
      <c r="N51" s="15" t="s">
        <v>64</v>
      </c>
    </row>
    <row r="52" ht="12.75">
      <c r="B52" s="5" t="s">
        <v>32</v>
      </c>
    </row>
    <row r="53" spans="1:13" ht="15">
      <c r="A53" s="45" t="s">
        <v>347</v>
      </c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4" ht="12.75">
      <c r="A54" s="14" t="s">
        <v>16</v>
      </c>
      <c r="B54" s="11" t="s">
        <v>685</v>
      </c>
      <c r="C54" s="11" t="s">
        <v>686</v>
      </c>
      <c r="D54" s="11" t="s">
        <v>687</v>
      </c>
      <c r="E54" s="11" t="str">
        <f>"0,5646"</f>
        <v>0,5646</v>
      </c>
      <c r="F54" s="11" t="s">
        <v>20</v>
      </c>
      <c r="G54" s="11" t="s">
        <v>37</v>
      </c>
      <c r="H54" s="13" t="s">
        <v>161</v>
      </c>
      <c r="I54" s="13" t="s">
        <v>291</v>
      </c>
      <c r="J54" s="12" t="s">
        <v>688</v>
      </c>
      <c r="K54" s="14"/>
      <c r="L54" s="14" t="str">
        <f>"237,5"</f>
        <v>237,5</v>
      </c>
      <c r="M54" s="14" t="str">
        <f>"134,0925"</f>
        <v>134,0925</v>
      </c>
      <c r="N54" s="11" t="s">
        <v>31</v>
      </c>
    </row>
    <row r="55" spans="1:14" ht="12.75">
      <c r="A55" s="17" t="s">
        <v>56</v>
      </c>
      <c r="B55" s="15" t="s">
        <v>689</v>
      </c>
      <c r="C55" s="15" t="s">
        <v>690</v>
      </c>
      <c r="D55" s="15" t="s">
        <v>691</v>
      </c>
      <c r="E55" s="15" t="str">
        <f>"0,5600"</f>
        <v>0,5600</v>
      </c>
      <c r="F55" s="15" t="s">
        <v>20</v>
      </c>
      <c r="G55" s="15" t="s">
        <v>692</v>
      </c>
      <c r="H55" s="18" t="s">
        <v>253</v>
      </c>
      <c r="I55" s="18" t="s">
        <v>161</v>
      </c>
      <c r="J55" s="16" t="s">
        <v>688</v>
      </c>
      <c r="K55" s="17"/>
      <c r="L55" s="17" t="str">
        <f>"230,0"</f>
        <v>230,0</v>
      </c>
      <c r="M55" s="17" t="str">
        <f>"128,8000"</f>
        <v>128,8000</v>
      </c>
      <c r="N55" s="15" t="s">
        <v>31</v>
      </c>
    </row>
    <row r="56" ht="12.75">
      <c r="B56" s="5" t="s">
        <v>32</v>
      </c>
    </row>
    <row r="57" spans="2:6" ht="15">
      <c r="B57" s="5" t="s">
        <v>32</v>
      </c>
      <c r="F57" s="23"/>
    </row>
    <row r="58" ht="12.75">
      <c r="B58" s="5" t="s">
        <v>32</v>
      </c>
    </row>
    <row r="59" spans="2:4" ht="18">
      <c r="B59" s="5" t="s">
        <v>32</v>
      </c>
      <c r="C59" s="24" t="s">
        <v>175</v>
      </c>
      <c r="D59" s="24"/>
    </row>
    <row r="60" ht="12.75">
      <c r="B60" s="5" t="s">
        <v>32</v>
      </c>
    </row>
    <row r="61" spans="2:4" ht="14.25">
      <c r="B61" s="5" t="s">
        <v>32</v>
      </c>
      <c r="C61" s="25"/>
      <c r="D61" s="25" t="s">
        <v>177</v>
      </c>
    </row>
    <row r="62" spans="2:7" ht="15">
      <c r="B62" s="5" t="s">
        <v>32</v>
      </c>
      <c r="C62" s="4" t="s">
        <v>178</v>
      </c>
      <c r="D62" s="4" t="s">
        <v>179</v>
      </c>
      <c r="E62" s="4" t="s">
        <v>180</v>
      </c>
      <c r="F62" s="4" t="s">
        <v>181</v>
      </c>
      <c r="G62" s="4" t="s">
        <v>182</v>
      </c>
    </row>
    <row r="63" spans="2:7" ht="12.75">
      <c r="B63" s="5" t="s">
        <v>32</v>
      </c>
      <c r="C63" s="5" t="s">
        <v>538</v>
      </c>
      <c r="D63" s="5" t="s">
        <v>177</v>
      </c>
      <c r="E63" s="6" t="s">
        <v>41</v>
      </c>
      <c r="F63" s="6" t="s">
        <v>161</v>
      </c>
      <c r="G63" s="6" t="s">
        <v>594</v>
      </c>
    </row>
    <row r="64" spans="2:7" ht="12.75">
      <c r="B64" s="5" t="s">
        <v>32</v>
      </c>
      <c r="C64" s="5" t="s">
        <v>676</v>
      </c>
      <c r="D64" s="5" t="s">
        <v>177</v>
      </c>
      <c r="E64" s="6" t="s">
        <v>61</v>
      </c>
      <c r="F64" s="6" t="s">
        <v>321</v>
      </c>
      <c r="G64" s="6" t="s">
        <v>693</v>
      </c>
    </row>
    <row r="65" spans="2:7" ht="12.75">
      <c r="B65" s="5" t="s">
        <v>32</v>
      </c>
      <c r="C65" s="5" t="s">
        <v>685</v>
      </c>
      <c r="D65" s="5" t="s">
        <v>177</v>
      </c>
      <c r="E65" s="6" t="s">
        <v>63</v>
      </c>
      <c r="F65" s="6" t="s">
        <v>291</v>
      </c>
      <c r="G65" s="6" t="s">
        <v>694</v>
      </c>
    </row>
    <row r="66" ht="12.75">
      <c r="B66" s="5" t="s">
        <v>32</v>
      </c>
    </row>
    <row r="67" ht="12.75">
      <c r="B67" s="5" t="s">
        <v>32</v>
      </c>
    </row>
  </sheetData>
  <sheetProtection/>
  <mergeCells count="22">
    <mergeCell ref="A1:N2"/>
    <mergeCell ref="A3:A4"/>
    <mergeCell ref="C3:C4"/>
    <mergeCell ref="D3:D4"/>
    <mergeCell ref="E3:E4"/>
    <mergeCell ref="L3:L4"/>
    <mergeCell ref="M3:M4"/>
    <mergeCell ref="N3:N4"/>
    <mergeCell ref="F3:F4"/>
    <mergeCell ref="A53:M53"/>
    <mergeCell ref="B3:B4"/>
    <mergeCell ref="A14:M14"/>
    <mergeCell ref="A19:M19"/>
    <mergeCell ref="A24:M24"/>
    <mergeCell ref="A32:M32"/>
    <mergeCell ref="H3:K3"/>
    <mergeCell ref="G3:G4"/>
    <mergeCell ref="A47:M47"/>
    <mergeCell ref="A5:M5"/>
    <mergeCell ref="A40:M40"/>
    <mergeCell ref="A8:M8"/>
    <mergeCell ref="A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Girard</cp:lastModifiedBy>
  <dcterms:created xsi:type="dcterms:W3CDTF">2002-06-16T13:36:44Z</dcterms:created>
  <dcterms:modified xsi:type="dcterms:W3CDTF">2019-05-28T12:51:36Z</dcterms:modified>
  <cp:category/>
  <cp:version/>
  <cp:contentType/>
  <cp:contentStatus/>
</cp:coreProperties>
</file>